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ce\REFM Dropbox\Bruce Kirsch\0000000000 Edition 5.2\Online Companion Files\"/>
    </mc:Choice>
  </mc:AlternateContent>
  <xr:revisionPtr revIDLastSave="0" documentId="13_ncr:1_{9FA0BD32-841D-481A-AC05-E3EED6D761ED}" xr6:coauthVersionLast="47" xr6:coauthVersionMax="47" xr10:uidLastSave="{00000000-0000-0000-0000-000000000000}"/>
  <bookViews>
    <workbookView xWindow="19090" yWindow="0" windowWidth="19230" windowHeight="20860" xr2:uid="{00000000-000D-0000-FFFF-FFFF00000000}"/>
  </bookViews>
  <sheets>
    <sheet name="Chapter 10 Figures" sheetId="12" r:id="rId1"/>
    <sheet name="Fig 10.1" sheetId="13" r:id="rId2"/>
    <sheet name="Fig 10.3" sheetId="3" r:id="rId3"/>
  </sheet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12" l="1"/>
  <c r="I6" i="13"/>
  <c r="I5" i="13"/>
  <c r="I4" i="13"/>
  <c r="J3" i="13"/>
  <c r="AA26" i="3" l="1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D28" i="3"/>
  <c r="E28" i="3" s="1"/>
  <c r="F28" i="3" s="1"/>
  <c r="G28" i="3" s="1"/>
  <c r="H28" i="3" s="1"/>
  <c r="I28" i="3" s="1"/>
  <c r="J28" i="3" s="1"/>
  <c r="K28" i="3" s="1"/>
  <c r="L28" i="3" s="1"/>
  <c r="M28" i="3" s="1"/>
  <c r="N28" i="3" s="1"/>
  <c r="O28" i="3" s="1"/>
  <c r="P28" i="3" s="1"/>
  <c r="Q28" i="3" s="1"/>
  <c r="R28" i="3" s="1"/>
  <c r="S28" i="3" s="1"/>
  <c r="T28" i="3" s="1"/>
  <c r="U28" i="3" s="1"/>
  <c r="V28" i="3" s="1"/>
  <c r="W28" i="3" s="1"/>
  <c r="X28" i="3" s="1"/>
  <c r="Y28" i="3" s="1"/>
  <c r="Z28" i="3" s="1"/>
  <c r="AA28" i="3" s="1"/>
  <c r="I28" i="13"/>
  <c r="H28" i="13"/>
  <c r="G28" i="13"/>
  <c r="F28" i="13"/>
  <c r="D33" i="13"/>
  <c r="D32" i="13"/>
  <c r="D28" i="13"/>
  <c r="B23" i="3"/>
  <c r="G16" i="13"/>
  <c r="G20" i="13"/>
  <c r="I17" i="13"/>
  <c r="D34" i="13"/>
  <c r="C33" i="13"/>
  <c r="C32" i="13"/>
  <c r="K30" i="13"/>
  <c r="J30" i="13"/>
  <c r="I30" i="13"/>
  <c r="H30" i="13"/>
  <c r="G30" i="13"/>
  <c r="F30" i="13"/>
  <c r="D29" i="13"/>
  <c r="D30" i="13"/>
  <c r="G12" i="13"/>
  <c r="H12" i="13"/>
  <c r="I12" i="13"/>
  <c r="J12" i="13"/>
  <c r="K12" i="13"/>
  <c r="C12" i="13"/>
  <c r="J11" i="13"/>
  <c r="H11" i="13"/>
  <c r="F11" i="13"/>
  <c r="B10" i="13"/>
  <c r="E25" i="3"/>
  <c r="F25" i="3"/>
  <c r="E33" i="3"/>
  <c r="F33" i="3" s="1"/>
  <c r="G33" i="3" s="1"/>
  <c r="H33" i="3" s="1"/>
  <c r="I33" i="3" s="1"/>
  <c r="J33" i="3" s="1"/>
  <c r="K33" i="3" s="1"/>
  <c r="L33" i="3" s="1"/>
  <c r="M33" i="3" s="1"/>
  <c r="N33" i="3" s="1"/>
  <c r="O33" i="3" s="1"/>
  <c r="P33" i="3" s="1"/>
  <c r="Q33" i="3" s="1"/>
  <c r="R33" i="3" s="1"/>
  <c r="S33" i="3" s="1"/>
  <c r="T33" i="3" s="1"/>
  <c r="U33" i="3" s="1"/>
  <c r="V33" i="3" s="1"/>
  <c r="W33" i="3" s="1"/>
  <c r="X33" i="3" s="1"/>
  <c r="Y33" i="3" s="1"/>
  <c r="Z33" i="3" s="1"/>
  <c r="AA33" i="3" s="1"/>
  <c r="B36" i="3"/>
  <c r="B37" i="3" s="1"/>
  <c r="B38" i="3" s="1"/>
  <c r="B39" i="3" s="1"/>
  <c r="B40" i="3" s="1"/>
  <c r="B41" i="3" s="1"/>
  <c r="B42" i="3" s="1"/>
  <c r="B43" i="3" s="1"/>
  <c r="B44" i="3" s="1"/>
  <c r="B45" i="3" s="1"/>
  <c r="G25" i="3"/>
  <c r="H25" i="3" s="1"/>
  <c r="D27" i="3" l="1"/>
  <c r="L27" i="3"/>
  <c r="T27" i="3"/>
  <c r="H27" i="3"/>
  <c r="P27" i="3"/>
  <c r="X27" i="3"/>
  <c r="E27" i="3"/>
  <c r="I27" i="3"/>
  <c r="M27" i="3"/>
  <c r="Q27" i="3"/>
  <c r="U27" i="3"/>
  <c r="Y27" i="3"/>
  <c r="F27" i="3"/>
  <c r="J27" i="3"/>
  <c r="N27" i="3"/>
  <c r="R27" i="3"/>
  <c r="V27" i="3"/>
  <c r="Z27" i="3"/>
  <c r="G27" i="3"/>
  <c r="K27" i="3"/>
  <c r="O27" i="3"/>
  <c r="S27" i="3"/>
  <c r="W27" i="3"/>
  <c r="AA27" i="3"/>
  <c r="B46" i="3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I25" i="3"/>
  <c r="J25" i="3" l="1"/>
  <c r="D29" i="3"/>
  <c r="E29" i="3" l="1"/>
  <c r="K25" i="3"/>
  <c r="L25" i="3" l="1"/>
  <c r="F29" i="3"/>
  <c r="G29" i="3" l="1"/>
  <c r="M25" i="3"/>
  <c r="N25" i="3" l="1"/>
  <c r="H29" i="3"/>
  <c r="I29" i="3" l="1"/>
  <c r="O25" i="3"/>
  <c r="P25" i="3" l="1"/>
  <c r="J29" i="3"/>
  <c r="K29" i="3" l="1"/>
  <c r="Q25" i="3"/>
  <c r="R25" i="3" l="1"/>
  <c r="L29" i="3"/>
  <c r="M29" i="3" l="1"/>
  <c r="S25" i="3"/>
  <c r="T25" i="3" l="1"/>
  <c r="N29" i="3"/>
  <c r="O29" i="3" l="1"/>
  <c r="U25" i="3"/>
  <c r="V25" i="3" l="1"/>
  <c r="P29" i="3"/>
  <c r="Q29" i="3" l="1"/>
  <c r="W25" i="3"/>
  <c r="R29" i="3" l="1"/>
  <c r="X25" i="3"/>
  <c r="Y25" i="3" l="1"/>
  <c r="S29" i="3"/>
  <c r="T29" i="3" l="1"/>
  <c r="Z25" i="3"/>
  <c r="U29" i="3" l="1"/>
  <c r="AA25" i="3"/>
  <c r="V29" i="3" l="1"/>
  <c r="W29" i="3" l="1"/>
  <c r="X29" i="3" l="1"/>
  <c r="Y29" i="3" l="1"/>
  <c r="Z29" i="3" l="1"/>
  <c r="AA29" i="3"/>
</calcChain>
</file>

<file path=xl/sharedStrings.xml><?xml version="1.0" encoding="utf-8"?>
<sst xmlns="http://schemas.openxmlformats.org/spreadsheetml/2006/main" count="36" uniqueCount="36">
  <si>
    <t>Construction</t>
  </si>
  <si>
    <t>Engineering</t>
  </si>
  <si>
    <t>Soft Construction Costs</t>
  </si>
  <si>
    <t>Architect</t>
  </si>
  <si>
    <t>Rezoning</t>
  </si>
  <si>
    <t>Fees</t>
  </si>
  <si>
    <t>Furniture</t>
  </si>
  <si>
    <t>Development Overhead</t>
  </si>
  <si>
    <t>Legal</t>
  </si>
  <si>
    <t>Assumptions:</t>
  </si>
  <si>
    <t>Model Months Increment</t>
  </si>
  <si>
    <t>Land and Hard Construction Costs</t>
  </si>
  <si>
    <t>Loan Interest</t>
  </si>
  <si>
    <t>Net Cash Flow</t>
  </si>
  <si>
    <t>Celina Gardens Condominiums Development Projection</t>
  </si>
  <si>
    <t>Land Acquisition</t>
  </si>
  <si>
    <t>Total Development Costs</t>
  </si>
  <si>
    <t># of Residential Units</t>
  </si>
  <si>
    <t>PV of Costs Discount Rate</t>
  </si>
  <si>
    <t>PV of Revenues Discount Rate</t>
  </si>
  <si>
    <t>Total Net Revenues</t>
  </si>
  <si>
    <t>Cumulative % Spend</t>
  </si>
  <si>
    <t>Construction Schedule Length in months</t>
  </si>
  <si>
    <t>&lt;&lt;&lt; Monthly % Allocation &gt;&gt;&gt;</t>
  </si>
  <si>
    <t xml:space="preserve">Construction Month # </t>
  </si>
  <si>
    <t>Cumulative $ Spend</t>
  </si>
  <si>
    <t>Construction Budget:</t>
  </si>
  <si>
    <t>Total</t>
  </si>
  <si>
    <t>Project NPV</t>
  </si>
  <si>
    <t>Monthly % Spend</t>
  </si>
  <si>
    <t>Monthly $ Spend</t>
  </si>
  <si>
    <t>2-year Treasury</t>
  </si>
  <si>
    <t>Monthly</t>
  </si>
  <si>
    <t>Required investment at Month 1</t>
  </si>
  <si>
    <t>Interest earned over 24 months</t>
  </si>
  <si>
    <t>Math for "Certainty of Cash Flows" section 3d par: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</si>
</sst>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\(#,###\)"/>
    <numFmt numFmtId="166" formatCode="#,##0\ &quot;months&quot;"/>
    <numFmt numFmtId="167" formatCode="#,##0&quot;-Month Period Starting&quot;"/>
    <numFmt numFmtId="168" formatCode="&quot;Month&quot;\ #,##0"/>
    <numFmt numFmtId="169" formatCode="&quot;Projected Opening Date: Start of Month&quot;\ #,##0"/>
    <numFmt numFmtId="170" formatCode="#,##0&quot;-month schedule&quot;"/>
    <numFmt numFmtId="172" formatCode="#,##0&quot;-Month Period Starting with:&quot;"/>
    <numFmt numFmtId="173" formatCode="&quot;PV of Costs at&quot;\ 0.00%"/>
    <numFmt numFmtId="174" formatCode="&quot;PV of Revenues at&quot;\ 0.00%"/>
    <numFmt numFmtId="175" formatCode="0.000%"/>
    <numFmt numFmtId="176" formatCode="&quot;All Contents Copyright © 2018-&quot;###0\ &quot;by Dr. Peter Linneman. All rights reserved.&quot;"/>
  </numFmts>
  <fonts count="16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i/>
      <sz val="9"/>
      <color theme="1" tint="0.249977111117893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9"/>
      <color theme="1" tint="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3F67B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C58A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rgb="FF3F67B1"/>
      </left>
      <right/>
      <top/>
      <bottom/>
      <diagonal/>
    </border>
    <border>
      <left/>
      <right style="thick">
        <color rgb="FF3F67B1"/>
      </right>
      <top/>
      <bottom/>
      <diagonal/>
    </border>
    <border>
      <left/>
      <right/>
      <top/>
      <bottom style="thick">
        <color rgb="FF3F67B1"/>
      </bottom>
      <diagonal/>
    </border>
    <border>
      <left/>
      <right style="thick">
        <color rgb="FF3F67B1"/>
      </right>
      <top/>
      <bottom style="thick">
        <color rgb="FF3F67B1"/>
      </bottom>
      <diagonal/>
    </border>
    <border>
      <left style="thick">
        <color rgb="FF3F67B1"/>
      </left>
      <right/>
      <top/>
      <bottom style="thick">
        <color rgb="FF3F67B1"/>
      </bottom>
      <diagonal/>
    </border>
    <border>
      <left style="thick">
        <color rgb="FF3F67B1"/>
      </left>
      <right/>
      <top style="thick">
        <color rgb="FF3F67B1"/>
      </top>
      <bottom style="thick">
        <color rgb="FF3F67B1"/>
      </bottom>
      <diagonal/>
    </border>
    <border>
      <left/>
      <right/>
      <top style="thick">
        <color rgb="FF3F67B1"/>
      </top>
      <bottom style="thick">
        <color rgb="FF3F67B1"/>
      </bottom>
      <diagonal/>
    </border>
    <border>
      <left/>
      <right style="thick">
        <color rgb="FF3F67B1"/>
      </right>
      <top style="thick">
        <color rgb="FF3F67B1"/>
      </top>
      <bottom style="thick">
        <color rgb="FF3F67B1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110">
    <xf numFmtId="0" fontId="0" fillId="0" borderId="0" xfId="0"/>
    <xf numFmtId="0" fontId="4" fillId="0" borderId="0" xfId="0" applyFont="1"/>
    <xf numFmtId="0" fontId="4" fillId="0" borderId="0" xfId="0" quotePrefix="1" applyFont="1"/>
    <xf numFmtId="8" fontId="4" fillId="0" borderId="0" xfId="0" applyNumberFormat="1" applyFont="1"/>
    <xf numFmtId="0" fontId="5" fillId="0" borderId="0" xfId="0" applyFont="1"/>
    <xf numFmtId="164" fontId="7" fillId="2" borderId="0" xfId="1" applyNumberFormat="1" applyFont="1" applyFill="1" applyBorder="1" applyAlignment="1">
      <alignment horizontal="left" vertical="top"/>
    </xf>
    <xf numFmtId="164" fontId="8" fillId="2" borderId="0" xfId="1" applyNumberFormat="1" applyFont="1" applyFill="1" applyBorder="1" applyAlignment="1">
      <alignment horizontal="left" vertical="top"/>
    </xf>
    <xf numFmtId="38" fontId="8" fillId="2" borderId="0" xfId="1" applyNumberFormat="1" applyFont="1" applyFill="1" applyBorder="1" applyAlignment="1">
      <alignment horizontal="right" vertical="top"/>
    </xf>
    <xf numFmtId="0" fontId="4" fillId="2" borderId="0" xfId="0" applyFont="1" applyFill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167" fontId="10" fillId="2" borderId="9" xfId="0" applyNumberFormat="1" applyFont="1" applyFill="1" applyBorder="1" applyAlignment="1">
      <alignment horizontal="left"/>
    </xf>
    <xf numFmtId="0" fontId="10" fillId="2" borderId="9" xfId="0" applyFont="1" applyFill="1" applyBorder="1" applyAlignment="1">
      <alignment horizontal="left" indent="1"/>
    </xf>
    <xf numFmtId="164" fontId="8" fillId="2" borderId="10" xfId="1" applyNumberFormat="1" applyFont="1" applyFill="1" applyBorder="1" applyAlignment="1">
      <alignment horizontal="left" vertical="top"/>
    </xf>
    <xf numFmtId="165" fontId="8" fillId="2" borderId="0" xfId="1" applyNumberFormat="1" applyFont="1" applyFill="1" applyBorder="1" applyAlignment="1">
      <alignment horizontal="left" vertical="top"/>
    </xf>
    <xf numFmtId="164" fontId="8" fillId="2" borderId="11" xfId="1" applyNumberFormat="1" applyFont="1" applyFill="1" applyBorder="1" applyAlignment="1">
      <alignment horizontal="left" vertical="top"/>
    </xf>
    <xf numFmtId="164" fontId="8" fillId="2" borderId="12" xfId="1" applyNumberFormat="1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indent="1"/>
    </xf>
    <xf numFmtId="167" fontId="10" fillId="2" borderId="13" xfId="0" applyNumberFormat="1" applyFont="1" applyFill="1" applyBorder="1" applyAlignment="1">
      <alignment horizontal="left"/>
    </xf>
    <xf numFmtId="38" fontId="8" fillId="2" borderId="0" xfId="1" applyNumberFormat="1" applyFont="1" applyFill="1" applyBorder="1" applyAlignment="1">
      <alignment horizontal="center" vertical="top"/>
    </xf>
    <xf numFmtId="6" fontId="8" fillId="2" borderId="11" xfId="1" applyNumberFormat="1" applyFont="1" applyFill="1" applyBorder="1" applyAlignment="1">
      <alignment horizontal="center" vertical="top"/>
    </xf>
    <xf numFmtId="0" fontId="11" fillId="2" borderId="0" xfId="3" applyFont="1" applyFill="1" applyBorder="1" applyAlignment="1">
      <alignment horizontal="center" vertical="top" wrapText="1"/>
    </xf>
    <xf numFmtId="0" fontId="11" fillId="2" borderId="0" xfId="2" applyFont="1" applyFill="1" applyAlignment="1">
      <alignment horizontal="center"/>
    </xf>
    <xf numFmtId="10" fontId="6" fillId="2" borderId="0" xfId="4" applyNumberFormat="1" applyFont="1" applyFill="1"/>
    <xf numFmtId="0" fontId="6" fillId="2" borderId="0" xfId="2" applyFont="1" applyFill="1"/>
    <xf numFmtId="0" fontId="6" fillId="2" borderId="0" xfId="2" applyFont="1" applyFill="1" applyBorder="1"/>
    <xf numFmtId="10" fontId="6" fillId="2" borderId="0" xfId="4" applyNumberFormat="1" applyFont="1" applyFill="1" applyBorder="1"/>
    <xf numFmtId="38" fontId="4" fillId="2" borderId="0" xfId="0" applyNumberFormat="1" applyFont="1" applyFill="1"/>
    <xf numFmtId="0" fontId="4" fillId="2" borderId="0" xfId="0" applyFont="1" applyFill="1" applyAlignment="1">
      <alignment horizontal="center"/>
    </xf>
    <xf numFmtId="6" fontId="4" fillId="2" borderId="0" xfId="0" applyNumberFormat="1" applyFont="1" applyFill="1" applyAlignment="1">
      <alignment horizontal="center"/>
    </xf>
    <xf numFmtId="170" fontId="6" fillId="2" borderId="0" xfId="0" applyNumberFormat="1" applyFont="1" applyFill="1" applyAlignment="1">
      <alignment horizontal="center"/>
    </xf>
    <xf numFmtId="0" fontId="12" fillId="3" borderId="0" xfId="2" applyFont="1" applyFill="1"/>
    <xf numFmtId="170" fontId="6" fillId="2" borderId="0" xfId="0" applyNumberFormat="1" applyFont="1" applyFill="1" applyAlignment="1">
      <alignment horizontal="left"/>
    </xf>
    <xf numFmtId="0" fontId="4" fillId="2" borderId="11" xfId="0" applyFont="1" applyFill="1" applyBorder="1"/>
    <xf numFmtId="6" fontId="8" fillId="2" borderId="0" xfId="1" applyNumberFormat="1" applyFont="1" applyFill="1" applyBorder="1" applyAlignment="1">
      <alignment horizontal="right" vertical="top" indent="1"/>
    </xf>
    <xf numFmtId="0" fontId="8" fillId="2" borderId="0" xfId="0" applyFont="1" applyFill="1" applyAlignment="1">
      <alignment horizontal="center"/>
    </xf>
    <xf numFmtId="6" fontId="8" fillId="2" borderId="0" xfId="0" applyNumberFormat="1" applyFont="1" applyFill="1" applyAlignment="1">
      <alignment horizontal="center"/>
    </xf>
    <xf numFmtId="0" fontId="8" fillId="2" borderId="0" xfId="0" applyFont="1" applyFill="1"/>
    <xf numFmtId="10" fontId="8" fillId="2" borderId="0" xfId="0" applyNumberFormat="1" applyFont="1" applyFill="1"/>
    <xf numFmtId="38" fontId="8" fillId="2" borderId="0" xfId="0" applyNumberFormat="1" applyFont="1" applyFill="1"/>
    <xf numFmtId="6" fontId="8" fillId="2" borderId="0" xfId="0" applyNumberFormat="1" applyFont="1" applyFill="1"/>
    <xf numFmtId="0" fontId="8" fillId="5" borderId="0" xfId="3" applyFont="1" applyFill="1" applyBorder="1" applyAlignment="1">
      <alignment horizontal="center" vertical="top" wrapText="1"/>
    </xf>
    <xf numFmtId="0" fontId="8" fillId="5" borderId="0" xfId="2" applyFont="1" applyFill="1" applyAlignment="1">
      <alignment horizontal="center"/>
    </xf>
    <xf numFmtId="38" fontId="8" fillId="5" borderId="0" xfId="1" applyNumberFormat="1" applyFont="1" applyFill="1" applyBorder="1" applyAlignment="1">
      <alignment horizontal="center" vertical="top"/>
    </xf>
    <xf numFmtId="6" fontId="8" fillId="5" borderId="0" xfId="1" applyNumberFormat="1" applyFont="1" applyFill="1" applyBorder="1" applyAlignment="1">
      <alignment horizontal="center" vertical="top"/>
    </xf>
    <xf numFmtId="168" fontId="13" fillId="2" borderId="3" xfId="0" applyNumberFormat="1" applyFont="1" applyFill="1" applyBorder="1" applyAlignment="1">
      <alignment horizontal="left" vertical="top" indent="1"/>
    </xf>
    <xf numFmtId="0" fontId="8" fillId="2" borderId="4" xfId="0" applyFont="1" applyFill="1" applyBorder="1" applyAlignment="1">
      <alignment horizontal="center" vertical="top"/>
    </xf>
    <xf numFmtId="164" fontId="8" fillId="2" borderId="4" xfId="1" applyNumberFormat="1" applyFont="1" applyFill="1" applyBorder="1" applyAlignment="1">
      <alignment horizontal="left" vertical="top"/>
    </xf>
    <xf numFmtId="38" fontId="8" fillId="2" borderId="4" xfId="1" applyNumberFormat="1" applyFont="1" applyFill="1" applyBorder="1" applyAlignment="1">
      <alignment horizontal="right" vertical="top" indent="1"/>
    </xf>
    <xf numFmtId="0" fontId="4" fillId="2" borderId="4" xfId="0" applyFont="1" applyFill="1" applyBorder="1" applyAlignment="1">
      <alignment horizontal="right" indent="1"/>
    </xf>
    <xf numFmtId="38" fontId="8" fillId="2" borderId="5" xfId="1" applyNumberFormat="1" applyFont="1" applyFill="1" applyBorder="1" applyAlignment="1">
      <alignment horizontal="right" vertical="top" indent="1"/>
    </xf>
    <xf numFmtId="168" fontId="13" fillId="2" borderId="6" xfId="0" applyNumberFormat="1" applyFont="1" applyFill="1" applyBorder="1" applyAlignment="1">
      <alignment horizontal="left" vertical="top" indent="1"/>
    </xf>
    <xf numFmtId="0" fontId="8" fillId="2" borderId="7" xfId="0" applyFont="1" applyFill="1" applyBorder="1" applyAlignment="1">
      <alignment horizontal="center" vertical="top"/>
    </xf>
    <xf numFmtId="164" fontId="8" fillId="2" borderId="7" xfId="1" applyNumberFormat="1" applyFont="1" applyFill="1" applyBorder="1" applyAlignment="1">
      <alignment horizontal="left" vertical="top"/>
    </xf>
    <xf numFmtId="38" fontId="8" fillId="2" borderId="7" xfId="1" applyNumberFormat="1" applyFont="1" applyFill="1" applyBorder="1" applyAlignment="1">
      <alignment horizontal="right" vertical="top"/>
    </xf>
    <xf numFmtId="38" fontId="8" fillId="2" borderId="7" xfId="1" applyNumberFormat="1" applyFont="1" applyFill="1" applyBorder="1" applyAlignment="1">
      <alignment horizontal="right" vertical="top" indent="1"/>
    </xf>
    <xf numFmtId="0" fontId="4" fillId="2" borderId="7" xfId="0" applyFont="1" applyFill="1" applyBorder="1" applyAlignment="1">
      <alignment horizontal="right" indent="1"/>
    </xf>
    <xf numFmtId="38" fontId="8" fillId="2" borderId="8" xfId="1" applyNumberFormat="1" applyFont="1" applyFill="1" applyBorder="1" applyAlignment="1">
      <alignment horizontal="right" vertical="top"/>
    </xf>
    <xf numFmtId="168" fontId="13" fillId="2" borderId="4" xfId="0" applyNumberFormat="1" applyFont="1" applyFill="1" applyBorder="1" applyAlignment="1">
      <alignment horizontal="left" vertical="top" indent="1"/>
    </xf>
    <xf numFmtId="168" fontId="13" fillId="2" borderId="7" xfId="0" applyNumberFormat="1" applyFont="1" applyFill="1" applyBorder="1" applyAlignment="1">
      <alignment horizontal="left" vertical="top" indent="1"/>
    </xf>
    <xf numFmtId="38" fontId="8" fillId="2" borderId="4" xfId="1" applyNumberFormat="1" applyFont="1" applyFill="1" applyBorder="1" applyAlignment="1">
      <alignment horizontal="right" vertical="top"/>
    </xf>
    <xf numFmtId="0" fontId="4" fillId="2" borderId="4" xfId="0" applyFont="1" applyFill="1" applyBorder="1"/>
    <xf numFmtId="38" fontId="8" fillId="2" borderId="5" xfId="1" applyNumberFormat="1" applyFont="1" applyFill="1" applyBorder="1" applyAlignment="1">
      <alignment horizontal="right" vertical="top"/>
    </xf>
    <xf numFmtId="0" fontId="4" fillId="2" borderId="7" xfId="0" applyFont="1" applyFill="1" applyBorder="1"/>
    <xf numFmtId="0" fontId="8" fillId="2" borderId="2" xfId="0" applyFont="1" applyFill="1" applyBorder="1" applyAlignment="1">
      <alignment horizontal="left" vertical="top" indent="1"/>
    </xf>
    <xf numFmtId="6" fontId="8" fillId="5" borderId="2" xfId="1" applyNumberFormat="1" applyFont="1" applyFill="1" applyBorder="1" applyAlignment="1">
      <alignment horizontal="center" vertical="top"/>
    </xf>
    <xf numFmtId="174" fontId="8" fillId="2" borderId="1" xfId="0" applyNumberFormat="1" applyFont="1" applyFill="1" applyBorder="1" applyAlignment="1">
      <alignment horizontal="left" vertical="top" indent="1"/>
    </xf>
    <xf numFmtId="6" fontId="8" fillId="5" borderId="1" xfId="1" applyNumberFormat="1" applyFont="1" applyFill="1" applyBorder="1" applyAlignment="1">
      <alignment horizontal="center" vertical="top"/>
    </xf>
    <xf numFmtId="6" fontId="8" fillId="2" borderId="4" xfId="1" applyNumberFormat="1" applyFont="1" applyFill="1" applyBorder="1" applyAlignment="1">
      <alignment horizontal="right" vertical="top" indent="1"/>
    </xf>
    <xf numFmtId="6" fontId="8" fillId="2" borderId="7" xfId="1" applyNumberFormat="1" applyFont="1" applyFill="1" applyBorder="1" applyAlignment="1">
      <alignment horizontal="right" vertical="top" indent="1"/>
    </xf>
    <xf numFmtId="6" fontId="8" fillId="2" borderId="4" xfId="1" applyNumberFormat="1" applyFont="1" applyFill="1" applyBorder="1" applyAlignment="1">
      <alignment horizontal="right" vertical="top"/>
    </xf>
    <xf numFmtId="6" fontId="8" fillId="2" borderId="7" xfId="1" applyNumberFormat="1" applyFont="1" applyFill="1" applyBorder="1" applyAlignment="1">
      <alignment horizontal="right" vertical="top"/>
    </xf>
    <xf numFmtId="6" fontId="8" fillId="2" borderId="5" xfId="1" applyNumberFormat="1" applyFont="1" applyFill="1" applyBorder="1" applyAlignment="1">
      <alignment horizontal="right" vertical="top" indent="1"/>
    </xf>
    <xf numFmtId="6" fontId="8" fillId="2" borderId="8" xfId="1" applyNumberFormat="1" applyFont="1" applyFill="1" applyBorder="1" applyAlignment="1">
      <alignment horizontal="right" vertical="top" indent="1"/>
    </xf>
    <xf numFmtId="6" fontId="8" fillId="2" borderId="5" xfId="1" applyNumberFormat="1" applyFont="1" applyFill="1" applyBorder="1" applyAlignment="1">
      <alignment horizontal="right" vertical="top"/>
    </xf>
    <xf numFmtId="6" fontId="8" fillId="2" borderId="0" xfId="1" applyNumberFormat="1" applyFont="1" applyFill="1" applyBorder="1" applyAlignment="1">
      <alignment horizontal="right" vertical="top"/>
    </xf>
    <xf numFmtId="6" fontId="8" fillId="2" borderId="8" xfId="1" applyNumberFormat="1" applyFont="1" applyFill="1" applyBorder="1" applyAlignment="1">
      <alignment vertical="top"/>
    </xf>
    <xf numFmtId="6" fontId="8" fillId="2" borderId="0" xfId="1" applyNumberFormat="1" applyFont="1" applyFill="1" applyBorder="1" applyAlignment="1">
      <alignment vertical="top"/>
    </xf>
    <xf numFmtId="0" fontId="7" fillId="0" borderId="0" xfId="0" applyFont="1"/>
    <xf numFmtId="0" fontId="8" fillId="0" borderId="0" xfId="0" applyFont="1"/>
    <xf numFmtId="0" fontId="6" fillId="0" borderId="0" xfId="0" applyFont="1"/>
    <xf numFmtId="10" fontId="6" fillId="0" borderId="0" xfId="0" applyNumberFormat="1" applyFont="1"/>
    <xf numFmtId="166" fontId="6" fillId="0" borderId="0" xfId="0" applyNumberFormat="1" applyFont="1"/>
    <xf numFmtId="0" fontId="9" fillId="2" borderId="0" xfId="0" applyFont="1" applyFill="1" applyAlignment="1">
      <alignment horizontal="center" vertical="center"/>
    </xf>
    <xf numFmtId="169" fontId="8" fillId="2" borderId="0" xfId="0" applyNumberFormat="1" applyFont="1" applyFill="1" applyAlignment="1">
      <alignment horizontal="center" vertical="top"/>
    </xf>
    <xf numFmtId="0" fontId="5" fillId="2" borderId="0" xfId="0" applyFont="1" applyFill="1"/>
    <xf numFmtId="167" fontId="10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left" vertical="top" indent="1"/>
    </xf>
    <xf numFmtId="0" fontId="7" fillId="2" borderId="0" xfId="0" applyFont="1" applyFill="1" applyAlignment="1">
      <alignment horizontal="left" vertical="top" indent="1"/>
    </xf>
    <xf numFmtId="0" fontId="8" fillId="2" borderId="0" xfId="0" applyFont="1" applyFill="1" applyAlignment="1">
      <alignment horizontal="left" vertical="top" indent="2"/>
    </xf>
    <xf numFmtId="6" fontId="7" fillId="2" borderId="0" xfId="0" applyNumberFormat="1" applyFont="1" applyFill="1" applyAlignment="1">
      <alignment horizontal="center" vertical="top"/>
    </xf>
    <xf numFmtId="173" fontId="8" fillId="2" borderId="0" xfId="0" applyNumberFormat="1" applyFont="1" applyFill="1" applyAlignment="1">
      <alignment horizontal="left" vertical="top" indent="1"/>
    </xf>
    <xf numFmtId="0" fontId="8" fillId="2" borderId="0" xfId="0" applyFont="1" applyFill="1" applyAlignment="1">
      <alignment vertical="top"/>
    </xf>
    <xf numFmtId="6" fontId="8" fillId="0" borderId="0" xfId="0" applyNumberFormat="1" applyFont="1"/>
    <xf numFmtId="0" fontId="8" fillId="0" borderId="0" xfId="0" applyFont="1" applyAlignment="1">
      <alignment horizontal="center"/>
    </xf>
    <xf numFmtId="175" fontId="8" fillId="0" borderId="0" xfId="0" applyNumberFormat="1" applyFont="1" applyAlignment="1">
      <alignment horizontal="center"/>
    </xf>
    <xf numFmtId="6" fontId="8" fillId="0" borderId="1" xfId="0" applyNumberFormat="1" applyFont="1" applyBorder="1"/>
    <xf numFmtId="0" fontId="15" fillId="0" borderId="0" xfId="0" applyFont="1"/>
    <xf numFmtId="0" fontId="0" fillId="6" borderId="0" xfId="0" applyFill="1"/>
    <xf numFmtId="176" fontId="12" fillId="6" borderId="0" xfId="5" applyNumberFormat="1" applyFont="1" applyFill="1" applyAlignment="1">
      <alignment horizontal="left" vertical="center" indent="12"/>
    </xf>
    <xf numFmtId="172" fontId="13" fillId="2" borderId="0" xfId="0" applyNumberFormat="1" applyFont="1" applyFill="1"/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169" fontId="8" fillId="2" borderId="9" xfId="0" applyNumberFormat="1" applyFont="1" applyFill="1" applyBorder="1" applyAlignment="1">
      <alignment horizontal="center" vertical="top"/>
    </xf>
    <xf numFmtId="169" fontId="8" fillId="2" borderId="0" xfId="0" applyNumberFormat="1" applyFont="1" applyFill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14" fillId="3" borderId="0" xfId="2" applyFont="1" applyFill="1" applyAlignment="1">
      <alignment horizontal="center"/>
    </xf>
    <xf numFmtId="0" fontId="11" fillId="2" borderId="0" xfId="3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 10 2" xfId="2" xr:uid="{00000000-0005-0000-0000-000002000000}"/>
    <cellStyle name="Normal 2" xfId="5" xr:uid="{32BFA315-BD67-413A-8188-572C0D5E189B}"/>
    <cellStyle name="Normal 2 2 2" xfId="3" xr:uid="{00000000-0005-0000-0000-000003000000}"/>
    <cellStyle name="Percent 3 2" xfId="4" xr:uid="{00000000-0005-0000-0000-000004000000}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  <a:r>
              <a:rPr lang="en-US"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Monthly Construction Cost Spend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229458852269504"/>
          <c:y val="0.18953717522395391"/>
          <c:w val="0.76061399873492264"/>
          <c:h val="0.67626543909699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'Fig 10.3'!$D$27:$AA$27</c:f>
              <c:numCache>
                <c:formatCode>"$"#,##0_);[Red]\("$"#,##0\)</c:formatCode>
                <c:ptCount val="24"/>
                <c:pt idx="0">
                  <c:v>221939.92</c:v>
                </c:pt>
                <c:pt idx="1">
                  <c:v>221939.92</c:v>
                </c:pt>
                <c:pt idx="2">
                  <c:v>221939.92</c:v>
                </c:pt>
                <c:pt idx="3">
                  <c:v>221939.92</c:v>
                </c:pt>
                <c:pt idx="4">
                  <c:v>221939.92</c:v>
                </c:pt>
                <c:pt idx="5">
                  <c:v>443879.84</c:v>
                </c:pt>
                <c:pt idx="6">
                  <c:v>443879.84</c:v>
                </c:pt>
                <c:pt idx="7">
                  <c:v>443879.84</c:v>
                </c:pt>
                <c:pt idx="8">
                  <c:v>665819.76</c:v>
                </c:pt>
                <c:pt idx="9">
                  <c:v>1109699.6000000001</c:v>
                </c:pt>
                <c:pt idx="10">
                  <c:v>1331639.52</c:v>
                </c:pt>
                <c:pt idx="11">
                  <c:v>1553579.4400000002</c:v>
                </c:pt>
                <c:pt idx="12">
                  <c:v>1553579.4400000002</c:v>
                </c:pt>
                <c:pt idx="13">
                  <c:v>1775519.36</c:v>
                </c:pt>
                <c:pt idx="14">
                  <c:v>1775519.36</c:v>
                </c:pt>
                <c:pt idx="15">
                  <c:v>1775519.36</c:v>
                </c:pt>
                <c:pt idx="16">
                  <c:v>1775519.36</c:v>
                </c:pt>
                <c:pt idx="17">
                  <c:v>1775519.36</c:v>
                </c:pt>
                <c:pt idx="18">
                  <c:v>1775519.36</c:v>
                </c:pt>
                <c:pt idx="19">
                  <c:v>1109699.6000000001</c:v>
                </c:pt>
                <c:pt idx="20">
                  <c:v>665819.76</c:v>
                </c:pt>
                <c:pt idx="21">
                  <c:v>443879.84</c:v>
                </c:pt>
                <c:pt idx="22">
                  <c:v>443879.84</c:v>
                </c:pt>
                <c:pt idx="23">
                  <c:v>221939.92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92-4448-8880-777855AA5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7474544"/>
        <c:axId val="1077494512"/>
      </c:barChart>
      <c:catAx>
        <c:axId val="10774745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494512"/>
        <c:crosses val="autoZero"/>
        <c:auto val="1"/>
        <c:lblAlgn val="ctr"/>
        <c:lblOffset val="100"/>
        <c:noMultiLvlLbl val="0"/>
      </c:catAx>
      <c:valAx>
        <c:axId val="107749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474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  <a:r>
              <a:rPr lang="en-US"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Cumulative Construction Cost Spend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62946352557775"/>
          <c:y val="0.18490754221897215"/>
          <c:w val="0.74045683531738893"/>
          <c:h val="0.699112495707564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'Fig 10.3'!$D$29:$AA$29</c:f>
              <c:numCache>
                <c:formatCode>"$"#,##0_);[Red]\("$"#,##0\)</c:formatCode>
                <c:ptCount val="24"/>
                <c:pt idx="0">
                  <c:v>221939.92</c:v>
                </c:pt>
                <c:pt idx="1">
                  <c:v>443879.84</c:v>
                </c:pt>
                <c:pt idx="2">
                  <c:v>665819.76</c:v>
                </c:pt>
                <c:pt idx="3">
                  <c:v>887759.68</c:v>
                </c:pt>
                <c:pt idx="4">
                  <c:v>1109699.6000000001</c:v>
                </c:pt>
                <c:pt idx="5">
                  <c:v>1553579.4400000002</c:v>
                </c:pt>
                <c:pt idx="6">
                  <c:v>1997459.2800000003</c:v>
                </c:pt>
                <c:pt idx="7">
                  <c:v>2441339.12</c:v>
                </c:pt>
                <c:pt idx="8">
                  <c:v>3107158.8800000004</c:v>
                </c:pt>
                <c:pt idx="9">
                  <c:v>4216858.4800000004</c:v>
                </c:pt>
                <c:pt idx="10">
                  <c:v>5548498</c:v>
                </c:pt>
                <c:pt idx="11">
                  <c:v>7102077.4400000004</c:v>
                </c:pt>
                <c:pt idx="12">
                  <c:v>8655656.8800000008</c:v>
                </c:pt>
                <c:pt idx="13">
                  <c:v>10431176.24</c:v>
                </c:pt>
                <c:pt idx="14">
                  <c:v>12206695.600000001</c:v>
                </c:pt>
                <c:pt idx="15">
                  <c:v>13982214.960000001</c:v>
                </c:pt>
                <c:pt idx="16">
                  <c:v>15757734.319999998</c:v>
                </c:pt>
                <c:pt idx="17">
                  <c:v>17533253.68</c:v>
                </c:pt>
                <c:pt idx="18">
                  <c:v>19308773.039999999</c:v>
                </c:pt>
                <c:pt idx="19">
                  <c:v>20418472.639999997</c:v>
                </c:pt>
                <c:pt idx="20">
                  <c:v>21084292.399999999</c:v>
                </c:pt>
                <c:pt idx="21">
                  <c:v>21528172.239999998</c:v>
                </c:pt>
                <c:pt idx="22">
                  <c:v>21972052.079999998</c:v>
                </c:pt>
                <c:pt idx="23">
                  <c:v>22193992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71-4FE5-AA66-20D201E75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7474544"/>
        <c:axId val="1077494512"/>
      </c:barChart>
      <c:catAx>
        <c:axId val="10774745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494512"/>
        <c:crosses val="autoZero"/>
        <c:auto val="1"/>
        <c:lblAlgn val="ctr"/>
        <c:lblOffset val="100"/>
        <c:noMultiLvlLbl val="0"/>
      </c:catAx>
      <c:valAx>
        <c:axId val="107749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474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460376</xdr:colOff>
      <xdr:row>2</xdr:row>
      <xdr:rowOff>89958</xdr:rowOff>
    </xdr:from>
    <xdr:to>
      <xdr:col>11</xdr:col>
      <xdr:colOff>599480</xdr:colOff>
      <xdr:row>41</xdr:row>
      <xdr:rowOff>139174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60A2DA7-B8BC-43D6-B7D7-1E1E77F1B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309" y="454025"/>
          <a:ext cx="6700770" cy="7148516"/>
        </a:xfrm>
        <a:prstGeom prst="rect">
          <a:avLst/>
        </a:prstGeom>
      </xdr:spPr>
    </xdr:pic>
    <xdr:clientData/>
  </xdr:twoCellAnchor>
  <xdr:twoCellAnchor>
    <xdr:from>
      <xdr:col>2</xdr:col>
      <xdr:colOff>460375</xdr:colOff>
      <xdr:row>42</xdr:row>
      <xdr:rowOff>15876</xdr:rowOff>
    </xdr:from>
    <xdr:to>
      <xdr:col>10</xdr:col>
      <xdr:colOff>413713</xdr:colOff>
      <xdr:row>46</xdr:row>
      <xdr:rowOff>135394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F9A66D6-D46D-4315-87CE-0131CE44FE22}"/>
            </a:ext>
          </a:extLst>
        </xdr:cNvPr>
        <xdr:cNvSpPr txBox="1"/>
      </xdr:nvSpPr>
      <xdr:spPr>
        <a:xfrm>
          <a:off x="1730375" y="7683501"/>
          <a:ext cx="5033338" cy="8497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2400" b="0">
              <a:solidFill>
                <a:schemeClr val="bg1"/>
              </a:solidFill>
            </a:rPr>
            <a:t>Online Companion</a:t>
          </a:r>
          <a:r>
            <a:rPr lang="en-US" sz="2400" b="0" baseline="0">
              <a:solidFill>
                <a:schemeClr val="bg1"/>
              </a:solidFill>
            </a:rPr>
            <a:t> to </a:t>
          </a:r>
          <a:r>
            <a:rPr lang="en-US" sz="2400" b="0">
              <a:solidFill>
                <a:schemeClr val="bg1"/>
              </a:solidFill>
            </a:rPr>
            <a:t>Chapter</a:t>
          </a:r>
          <a:r>
            <a:rPr lang="en-US" sz="2400" b="0" baseline="0">
              <a:solidFill>
                <a:schemeClr val="bg1"/>
              </a:solidFill>
            </a:rPr>
            <a:t> 10 Figures</a:t>
          </a:r>
        </a:p>
        <a:p>
          <a:pPr algn="ctr"/>
          <a:r>
            <a:rPr lang="en-US" sz="2400" b="0" baseline="0">
              <a:solidFill>
                <a:schemeClr val="bg1"/>
              </a:solidFill>
            </a:rPr>
            <a:t>Development Pro Forma Analysis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36</xdr:row>
      <xdr:rowOff>6350</xdr:rowOff>
    </xdr:from>
    <xdr:to>
      <xdr:col>8</xdr:col>
      <xdr:colOff>749300</xdr:colOff>
      <xdr:row>57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80FEE96-AD4D-49EA-9A00-D32F8F423D15}"/>
            </a:ext>
          </a:extLst>
        </xdr:cNvPr>
        <xdr:cNvSpPr txBox="1"/>
      </xdr:nvSpPr>
      <xdr:spPr>
        <a:xfrm>
          <a:off x="415925" y="5392738"/>
          <a:ext cx="5872163" cy="32083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FF0000"/>
              </a:solidFill>
            </a:rPr>
            <a:t>Author's Note:</a:t>
          </a:r>
        </a:p>
        <a:p>
          <a:r>
            <a:rPr lang="en-US" sz="11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It is by design in this Figure that </a:t>
          </a:r>
          <a:r>
            <a:rPr 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we are not detailing a month-by-month cost outlay, but rather a batch-of-months by batch-of-months outlay</a:t>
          </a:r>
          <a:r>
            <a:rPr 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and we are doing the same for revenues). As such, the PV calculations for costs and for revenues are not perfect</a:t>
          </a:r>
          <a:r>
            <a:rPr 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in that we discount all periodic values by the elapsed time of the </a:t>
          </a:r>
          <a:r>
            <a:rPr lang="en-US" sz="1100" b="0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end</a:t>
          </a:r>
          <a:r>
            <a:rPr 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of that individual period.</a:t>
          </a:r>
          <a:endParaRPr lang="en-US" sz="1100" b="0">
            <a:solidFill>
              <a:srgbClr val="FF0000"/>
            </a:solidFill>
          </a:endParaRPr>
        </a:p>
        <a:p>
          <a:endParaRPr lang="en-US" sz="1100" b="0" baseline="0">
            <a:solidFill>
              <a:srgbClr val="FF0000"/>
            </a:solidFill>
          </a:endParaRPr>
        </a:p>
        <a:p>
          <a:r>
            <a:rPr 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The imperfection lies in that, for example, it is possible that the Land Acquisition cost spend occurs all in Month 1 of the first 6-month period, rather than all in Month 6, or that it is spread out in some way (such as a deposit in Month 1 and closing in Month 6). Yet regardless</a:t>
          </a:r>
          <a:r>
            <a:rPr 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of what that spreading out of values might be, the entire periodic amount is being discounted by 6 months. </a:t>
          </a:r>
          <a:r>
            <a:rPr 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Likewise, not all condominium sales are</a:t>
          </a:r>
          <a:r>
            <a:rPr 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necessarily occurring in the last month of the period, yet they are all being discounted by the elapsed end month of the period in which they fall. </a:t>
          </a:r>
        </a:p>
        <a:p>
          <a:endParaRPr lang="en-US" sz="11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Accordingly, we must accept that some costs will likely be over-discounted and some others will be under-discounted, and the</a:t>
          </a:r>
          <a:r>
            <a:rPr 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same for revenues</a:t>
          </a:r>
          <a:r>
            <a:rPr 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 Nonetheless, we view the results as directionally valid, and appropriately conservative, especially as the input for the</a:t>
          </a:r>
          <a:r>
            <a:rPr 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Model Months I</a:t>
          </a:r>
          <a:r>
            <a:rPr 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ncrement increases in size (e.g., from a 6-month increment to a 12-month increment).</a:t>
          </a:r>
          <a:endParaRPr lang="en-US" sz="1100" b="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</xdr:colOff>
      <xdr:row>4</xdr:row>
      <xdr:rowOff>139172</xdr:rowOff>
    </xdr:from>
    <xdr:to>
      <xdr:col>9</xdr:col>
      <xdr:colOff>468312</xdr:colOff>
      <xdr:row>23</xdr:row>
      <xdr:rowOff>67204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32AD2A-1B37-4B68-8663-8FDAE516B0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495300</xdr:colOff>
      <xdr:row>4</xdr:row>
      <xdr:rowOff>143933</xdr:rowOff>
    </xdr:from>
    <xdr:to>
      <xdr:col>16</xdr:col>
      <xdr:colOff>251884</xdr:colOff>
      <xdr:row>23</xdr:row>
      <xdr:rowOff>71967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107143D-10A3-427D-ADDA-2D9F83D34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7A48C-6AAF-4E41-8675-51BC9A147A57}">
  <dimension ref="C9:L54"/>
  <sheetViews>
    <sheetView tabSelected="1" zoomScale="80" zoomScaleNormal="80" workbookViewId="0">
      <selection activeCell="C8" sqref="C8"/>
    </sheetView>
  </sheetViews>
  <sheetFormatPr defaultColWidth="9.08984375" defaultRowHeight="14.5" x14ac:dyDescent="0.35"/>
  <cols>
    <col min="1" max="16384" width="9.08984375" style="99"/>
  </cols>
  <sheetData>
    <row r="9" s="99" customFormat="1" x14ac:dyDescent="0.35"/>
    <row r="54" spans="3:12" x14ac:dyDescent="0.35">
      <c r="C54" s="100">
        <f ca="1">YEAR(TODAY())</f>
        <v>2022</v>
      </c>
      <c r="D54" s="100"/>
      <c r="E54" s="100"/>
      <c r="F54" s="100"/>
      <c r="G54" s="100"/>
      <c r="H54" s="100"/>
      <c r="I54" s="100"/>
      <c r="J54" s="100"/>
      <c r="K54" s="100"/>
      <c r="L54" s="100"/>
    </row>
  </sheetData>
  <mergeCells count="1">
    <mergeCell ref="C54:L54"/>
  </mergeCells>
  <pageMargins left="0.7" right="0.7" top="0.75" bottom="0.75" header="0.3" footer="0.3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71116-96B5-494A-B1DB-918CDFAB4053}">
  <dimension ref="B2:Q41"/>
  <sheetViews>
    <sheetView zoomScaleNormal="100" workbookViewId="0"/>
  </sheetViews>
  <sheetFormatPr defaultColWidth="13.26953125" defaultRowHeight="12" x14ac:dyDescent="0.3"/>
  <cols>
    <col min="1" max="1" width="5.7265625" style="1" customWidth="1"/>
    <col min="2" max="2" width="2.54296875" style="1" customWidth="1"/>
    <col min="3" max="3" width="20.54296875" style="1" customWidth="1"/>
    <col min="4" max="4" width="12" style="1" customWidth="1"/>
    <col min="5" max="5" width="3.7265625" style="1" customWidth="1"/>
    <col min="6" max="6" width="10.81640625" style="1" customWidth="1"/>
    <col min="7" max="7" width="11.08984375" style="1" customWidth="1"/>
    <col min="8" max="11" width="10.81640625" style="1" customWidth="1"/>
    <col min="12" max="12" width="2.54296875" style="1" customWidth="1"/>
    <col min="13" max="16384" width="13.26953125" style="1"/>
  </cols>
  <sheetData>
    <row r="2" spans="2:17" x14ac:dyDescent="0.3">
      <c r="B2" s="78" t="s">
        <v>9</v>
      </c>
      <c r="C2" s="4"/>
      <c r="D2" s="4"/>
      <c r="E2" s="4"/>
      <c r="F2" s="4"/>
      <c r="G2" s="98" t="s">
        <v>35</v>
      </c>
      <c r="H2" s="4"/>
      <c r="I2" s="4"/>
      <c r="J2" s="95" t="s">
        <v>32</v>
      </c>
      <c r="K2" s="4"/>
      <c r="L2" s="4"/>
      <c r="M2" s="4"/>
      <c r="N2" s="4"/>
      <c r="O2" s="4"/>
      <c r="P2" s="4"/>
      <c r="Q2" s="4"/>
    </row>
    <row r="3" spans="2:17" x14ac:dyDescent="0.3">
      <c r="B3" s="79" t="s">
        <v>17</v>
      </c>
      <c r="D3" s="80">
        <v>250</v>
      </c>
      <c r="E3" s="80"/>
      <c r="G3" s="79" t="s">
        <v>31</v>
      </c>
      <c r="I3" s="81">
        <v>3.0000000000000001E-3</v>
      </c>
      <c r="J3" s="96">
        <f>(1+I3)^(1/12)-1</f>
        <v>2.4965690741618474E-4</v>
      </c>
      <c r="K3" s="4"/>
      <c r="L3" s="4"/>
      <c r="M3" s="4"/>
      <c r="N3" s="4"/>
      <c r="O3" s="4"/>
      <c r="P3" s="4"/>
      <c r="Q3" s="4"/>
    </row>
    <row r="4" spans="2:17" x14ac:dyDescent="0.3">
      <c r="B4" s="79" t="s">
        <v>18</v>
      </c>
      <c r="D4" s="81">
        <v>0.03</v>
      </c>
      <c r="E4" s="81"/>
      <c r="G4" s="79" t="s">
        <v>33</v>
      </c>
      <c r="I4" s="94">
        <f>-I28/(1+J3)^24</f>
        <v>1992592.511597815</v>
      </c>
      <c r="J4" s="4"/>
      <c r="K4" s="4"/>
      <c r="L4" s="4"/>
      <c r="M4" s="4"/>
      <c r="N4" s="4"/>
      <c r="O4" s="4"/>
      <c r="P4" s="4"/>
      <c r="Q4" s="4"/>
    </row>
    <row r="5" spans="2:17" x14ac:dyDescent="0.3">
      <c r="B5" s="79" t="s">
        <v>19</v>
      </c>
      <c r="D5" s="81">
        <v>7.0000000000000007E-2</v>
      </c>
      <c r="E5" s="81"/>
      <c r="G5" s="79" t="s">
        <v>34</v>
      </c>
      <c r="I5" s="97">
        <f>-I28-I4</f>
        <v>11973.48840218503</v>
      </c>
      <c r="L5" s="4"/>
      <c r="M5" s="4"/>
      <c r="N5" s="4"/>
      <c r="O5" s="4"/>
      <c r="P5" s="4"/>
      <c r="Q5" s="4"/>
    </row>
    <row r="6" spans="2:17" x14ac:dyDescent="0.3">
      <c r="B6" s="79" t="s">
        <v>10</v>
      </c>
      <c r="D6" s="82">
        <v>6</v>
      </c>
      <c r="E6" s="82"/>
      <c r="H6" s="4"/>
      <c r="I6" s="94">
        <f>I4+I5</f>
        <v>2004566</v>
      </c>
      <c r="L6" s="4"/>
      <c r="M6" s="4"/>
      <c r="N6" s="4"/>
      <c r="O6" s="4"/>
      <c r="P6" s="4"/>
      <c r="Q6" s="4"/>
    </row>
    <row r="7" spans="2:17" ht="12.5" thickBot="1" x14ac:dyDescent="0.35">
      <c r="B7" s="4"/>
      <c r="C7" s="4"/>
      <c r="D7" s="4"/>
      <c r="E7" s="4"/>
      <c r="F7" s="4"/>
      <c r="G7" s="4"/>
      <c r="H7" s="4"/>
      <c r="L7" s="4"/>
      <c r="M7" s="4"/>
      <c r="N7" s="4"/>
      <c r="O7" s="4"/>
      <c r="P7" s="4"/>
      <c r="Q7" s="4"/>
    </row>
    <row r="8" spans="2:17" ht="15" customHeight="1" thickTop="1" thickBot="1" x14ac:dyDescent="0.35">
      <c r="B8" s="102" t="s">
        <v>14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4"/>
      <c r="N8" s="4"/>
      <c r="O8" s="4"/>
      <c r="P8" s="4"/>
      <c r="Q8" s="4"/>
    </row>
    <row r="9" spans="2:17" ht="12.5" thickTop="1" x14ac:dyDescent="0.3">
      <c r="B9" s="9"/>
      <c r="C9" s="83"/>
      <c r="D9" s="83"/>
      <c r="E9" s="83"/>
      <c r="F9" s="83"/>
      <c r="G9" s="83"/>
      <c r="H9" s="83"/>
      <c r="I9" s="83"/>
      <c r="J9" s="83"/>
      <c r="K9" s="83"/>
      <c r="L9" s="10"/>
      <c r="M9" s="4"/>
      <c r="N9" s="4"/>
      <c r="O9" s="4"/>
      <c r="P9" s="4"/>
      <c r="Q9" s="4"/>
    </row>
    <row r="10" spans="2:17" x14ac:dyDescent="0.3">
      <c r="B10" s="105">
        <f>J12</f>
        <v>25</v>
      </c>
      <c r="C10" s="106"/>
      <c r="D10" s="106"/>
      <c r="E10" s="84"/>
      <c r="F10" s="85"/>
      <c r="G10" s="85"/>
      <c r="H10" s="85"/>
      <c r="I10" s="85"/>
      <c r="J10" s="85"/>
      <c r="K10" s="85"/>
      <c r="L10" s="13"/>
      <c r="M10" s="4"/>
      <c r="N10" s="4"/>
      <c r="O10" s="4"/>
      <c r="P10" s="4"/>
      <c r="Q10" s="4"/>
    </row>
    <row r="11" spans="2:17" ht="14.75" customHeight="1" x14ac:dyDescent="0.3">
      <c r="B11" s="11"/>
      <c r="C11" s="86"/>
      <c r="D11" s="86"/>
      <c r="E11" s="86"/>
      <c r="F11" s="107" t="str">
        <f>IF($D$6=6,"Year 1","")</f>
        <v>Year 1</v>
      </c>
      <c r="G11" s="107"/>
      <c r="H11" s="107" t="str">
        <f>IF($D$6=6,"Year 2","")</f>
        <v>Year 2</v>
      </c>
      <c r="I11" s="107"/>
      <c r="J11" s="107" t="str">
        <f>IF($D$6=6,"Year 3","")</f>
        <v>Year 3</v>
      </c>
      <c r="K11" s="107"/>
      <c r="L11" s="13"/>
    </row>
    <row r="12" spans="2:17" x14ac:dyDescent="0.3">
      <c r="B12" s="11"/>
      <c r="C12" s="101">
        <f>D6</f>
        <v>6</v>
      </c>
      <c r="D12" s="101"/>
      <c r="E12" s="101"/>
      <c r="F12" s="45">
        <v>1</v>
      </c>
      <c r="G12" s="51">
        <f>F12+$D$6</f>
        <v>7</v>
      </c>
      <c r="H12" s="58">
        <f>G12+$D$6</f>
        <v>13</v>
      </c>
      <c r="I12" s="59">
        <f>H12+$D$6</f>
        <v>19</v>
      </c>
      <c r="J12" s="45">
        <f>I12+$D$6</f>
        <v>25</v>
      </c>
      <c r="K12" s="51">
        <f>J12+$D$6</f>
        <v>31</v>
      </c>
      <c r="L12" s="13"/>
    </row>
    <row r="13" spans="2:17" x14ac:dyDescent="0.3">
      <c r="B13" s="12"/>
      <c r="C13" s="87"/>
      <c r="D13" s="87"/>
      <c r="E13" s="87"/>
      <c r="F13" s="46"/>
      <c r="G13" s="52"/>
      <c r="H13" s="46"/>
      <c r="I13" s="52"/>
      <c r="J13" s="46"/>
      <c r="K13" s="52"/>
      <c r="L13" s="13"/>
    </row>
    <row r="14" spans="2:17" x14ac:dyDescent="0.3">
      <c r="B14" s="11"/>
      <c r="C14" s="88" t="s">
        <v>11</v>
      </c>
      <c r="D14" s="89"/>
      <c r="E14" s="89"/>
      <c r="F14" s="47"/>
      <c r="G14" s="53"/>
      <c r="H14" s="47"/>
      <c r="I14" s="53"/>
      <c r="J14" s="47"/>
      <c r="K14" s="53"/>
      <c r="L14" s="13"/>
    </row>
    <row r="15" spans="2:17" x14ac:dyDescent="0.3">
      <c r="B15" s="11"/>
      <c r="C15" s="90" t="s">
        <v>15</v>
      </c>
      <c r="D15" s="90"/>
      <c r="E15" s="90"/>
      <c r="F15" s="48">
        <v>-3050000</v>
      </c>
      <c r="G15" s="54"/>
      <c r="H15" s="48"/>
      <c r="I15" s="54"/>
      <c r="J15" s="60"/>
      <c r="K15" s="54"/>
      <c r="L15" s="13"/>
    </row>
    <row r="16" spans="2:17" x14ac:dyDescent="0.3">
      <c r="B16" s="11"/>
      <c r="C16" s="90" t="s">
        <v>1</v>
      </c>
      <c r="D16" s="90"/>
      <c r="E16" s="90"/>
      <c r="F16" s="48">
        <v>-20000</v>
      </c>
      <c r="G16" s="55">
        <f>-250000+-125000</f>
        <v>-375000</v>
      </c>
      <c r="H16" s="48"/>
      <c r="I16" s="55"/>
      <c r="J16" s="60"/>
      <c r="K16" s="54"/>
      <c r="L16" s="13"/>
    </row>
    <row r="17" spans="2:12" x14ac:dyDescent="0.3">
      <c r="B17" s="11"/>
      <c r="C17" s="90" t="s">
        <v>0</v>
      </c>
      <c r="D17" s="90"/>
      <c r="E17" s="90"/>
      <c r="F17" s="48">
        <v>-145000</v>
      </c>
      <c r="G17" s="55">
        <v>-11354895</v>
      </c>
      <c r="H17" s="48">
        <v>-9004531</v>
      </c>
      <c r="I17" s="55">
        <f>-1235784+-453782</f>
        <v>-1689566</v>
      </c>
      <c r="J17" s="60"/>
      <c r="K17" s="54"/>
      <c r="L17" s="13"/>
    </row>
    <row r="18" spans="2:12" x14ac:dyDescent="0.3">
      <c r="B18" s="11"/>
      <c r="C18" s="8"/>
      <c r="D18" s="8"/>
      <c r="E18" s="8"/>
      <c r="F18" s="49"/>
      <c r="G18" s="56"/>
      <c r="H18" s="49"/>
      <c r="I18" s="56"/>
      <c r="J18" s="61"/>
      <c r="K18" s="63"/>
      <c r="L18" s="13"/>
    </row>
    <row r="19" spans="2:12" x14ac:dyDescent="0.3">
      <c r="B19" s="11"/>
      <c r="C19" s="88" t="s">
        <v>2</v>
      </c>
      <c r="D19" s="89"/>
      <c r="E19" s="89"/>
      <c r="F19" s="48"/>
      <c r="G19" s="55"/>
      <c r="H19" s="48"/>
      <c r="I19" s="55"/>
      <c r="J19" s="60"/>
      <c r="K19" s="54"/>
      <c r="L19" s="13"/>
    </row>
    <row r="20" spans="2:12" x14ac:dyDescent="0.3">
      <c r="B20" s="11"/>
      <c r="C20" s="90" t="s">
        <v>3</v>
      </c>
      <c r="D20" s="90"/>
      <c r="E20" s="90"/>
      <c r="F20" s="48">
        <v>-50000</v>
      </c>
      <c r="G20" s="55">
        <f>-350000+-800000</f>
        <v>-1150000</v>
      </c>
      <c r="H20" s="48"/>
      <c r="I20" s="55"/>
      <c r="J20" s="60"/>
      <c r="K20" s="54"/>
      <c r="L20" s="13"/>
    </row>
    <row r="21" spans="2:12" x14ac:dyDescent="0.3">
      <c r="B21" s="11"/>
      <c r="C21" s="90" t="s">
        <v>4</v>
      </c>
      <c r="D21" s="90"/>
      <c r="E21" s="90"/>
      <c r="F21" s="48">
        <v>-120000</v>
      </c>
      <c r="G21" s="55">
        <v>-10000</v>
      </c>
      <c r="H21" s="48"/>
      <c r="I21" s="55"/>
      <c r="J21" s="60"/>
      <c r="K21" s="54"/>
      <c r="L21" s="13"/>
    </row>
    <row r="22" spans="2:12" x14ac:dyDescent="0.3">
      <c r="B22" s="11"/>
      <c r="C22" s="90" t="s">
        <v>5</v>
      </c>
      <c r="D22" s="90"/>
      <c r="E22" s="90"/>
      <c r="F22" s="48">
        <v>-200000</v>
      </c>
      <c r="G22" s="55">
        <v>-135000</v>
      </c>
      <c r="H22" s="48"/>
      <c r="I22" s="55"/>
      <c r="J22" s="60"/>
      <c r="K22" s="54"/>
      <c r="L22" s="13"/>
    </row>
    <row r="23" spans="2:12" x14ac:dyDescent="0.3">
      <c r="B23" s="11"/>
      <c r="C23" s="90" t="s">
        <v>6</v>
      </c>
      <c r="D23" s="90"/>
      <c r="E23" s="90"/>
      <c r="F23" s="48"/>
      <c r="G23" s="55">
        <v>-6000</v>
      </c>
      <c r="H23" s="48">
        <v>-8500</v>
      </c>
      <c r="I23" s="55">
        <v>-205000</v>
      </c>
      <c r="J23" s="60"/>
      <c r="K23" s="54"/>
      <c r="L23" s="13"/>
    </row>
    <row r="24" spans="2:12" x14ac:dyDescent="0.3">
      <c r="B24" s="11"/>
      <c r="C24" s="90" t="s">
        <v>7</v>
      </c>
      <c r="D24" s="90"/>
      <c r="E24" s="90"/>
      <c r="F24" s="48">
        <v>-102000</v>
      </c>
      <c r="G24" s="55">
        <v>-55000</v>
      </c>
      <c r="H24" s="48">
        <v>-65000</v>
      </c>
      <c r="I24" s="55">
        <v>-55000</v>
      </c>
      <c r="J24" s="60"/>
      <c r="K24" s="54"/>
      <c r="L24" s="13"/>
    </row>
    <row r="25" spans="2:12" x14ac:dyDescent="0.3">
      <c r="B25" s="11"/>
      <c r="C25" s="90" t="s">
        <v>8</v>
      </c>
      <c r="D25" s="90"/>
      <c r="E25" s="90"/>
      <c r="F25" s="48">
        <v>-351000</v>
      </c>
      <c r="G25" s="55">
        <v>-251000</v>
      </c>
      <c r="H25" s="48">
        <v>-20000</v>
      </c>
      <c r="I25" s="55"/>
      <c r="J25" s="60"/>
      <c r="K25" s="54"/>
      <c r="L25" s="13"/>
    </row>
    <row r="26" spans="2:12" x14ac:dyDescent="0.3">
      <c r="B26" s="11"/>
      <c r="C26" s="90" t="s">
        <v>12</v>
      </c>
      <c r="D26" s="90"/>
      <c r="E26" s="90"/>
      <c r="F26" s="48">
        <v>-851</v>
      </c>
      <c r="G26" s="55">
        <v>-46840</v>
      </c>
      <c r="H26" s="48">
        <v>-54000</v>
      </c>
      <c r="I26" s="55">
        <v>-55000</v>
      </c>
      <c r="J26" s="60"/>
      <c r="K26" s="54"/>
      <c r="L26" s="13"/>
    </row>
    <row r="27" spans="2:12" x14ac:dyDescent="0.3">
      <c r="B27" s="11"/>
      <c r="C27" s="7"/>
      <c r="D27" s="43" t="s">
        <v>27</v>
      </c>
      <c r="E27" s="7"/>
      <c r="F27" s="50"/>
      <c r="G27" s="57"/>
      <c r="H27" s="50"/>
      <c r="I27" s="57"/>
      <c r="J27" s="62"/>
      <c r="K27" s="57"/>
      <c r="L27" s="13"/>
    </row>
    <row r="28" spans="2:12" x14ac:dyDescent="0.3">
      <c r="B28" s="11"/>
      <c r="C28" s="88" t="s">
        <v>16</v>
      </c>
      <c r="D28" s="44">
        <f>SUM(F28:K28)</f>
        <v>-28579183</v>
      </c>
      <c r="E28" s="91"/>
      <c r="F28" s="68">
        <f>SUM(F15:F26)</f>
        <v>-4038851</v>
      </c>
      <c r="G28" s="69">
        <f>SUM(G16:G26)</f>
        <v>-13383735</v>
      </c>
      <c r="H28" s="68">
        <f>SUM(H17:H26)</f>
        <v>-9152031</v>
      </c>
      <c r="I28" s="69">
        <f>SUM(I17:I26)</f>
        <v>-2004566</v>
      </c>
      <c r="J28" s="70">
        <v>0</v>
      </c>
      <c r="K28" s="71">
        <v>0</v>
      </c>
      <c r="L28" s="13"/>
    </row>
    <row r="29" spans="2:12" x14ac:dyDescent="0.3">
      <c r="B29" s="11"/>
      <c r="C29" s="17" t="s">
        <v>20</v>
      </c>
      <c r="D29" s="67">
        <f>SUM(F29:K29)</f>
        <v>37193355</v>
      </c>
      <c r="E29" s="91"/>
      <c r="F29" s="72">
        <v>0</v>
      </c>
      <c r="G29" s="73">
        <v>0</v>
      </c>
      <c r="H29" s="72">
        <v>0</v>
      </c>
      <c r="I29" s="73">
        <v>0</v>
      </c>
      <c r="J29" s="74">
        <v>18596678</v>
      </c>
      <c r="K29" s="76">
        <v>18596677</v>
      </c>
      <c r="L29" s="13"/>
    </row>
    <row r="30" spans="2:12" x14ac:dyDescent="0.3">
      <c r="B30" s="11"/>
      <c r="C30" s="88" t="s">
        <v>13</v>
      </c>
      <c r="D30" s="44">
        <f>SUM(D28:D29)</f>
        <v>8614172</v>
      </c>
      <c r="E30" s="91"/>
      <c r="F30" s="34">
        <f t="shared" ref="F30:K30" si="0">F28+F29</f>
        <v>-4038851</v>
      </c>
      <c r="G30" s="34">
        <f t="shared" si="0"/>
        <v>-13383735</v>
      </c>
      <c r="H30" s="34">
        <f t="shared" si="0"/>
        <v>-9152031</v>
      </c>
      <c r="I30" s="34">
        <f t="shared" si="0"/>
        <v>-2004566</v>
      </c>
      <c r="J30" s="75">
        <f t="shared" si="0"/>
        <v>18596678</v>
      </c>
      <c r="K30" s="77">
        <f t="shared" si="0"/>
        <v>18596677</v>
      </c>
      <c r="L30" s="13"/>
    </row>
    <row r="31" spans="2:12" x14ac:dyDescent="0.3">
      <c r="B31" s="11"/>
      <c r="C31" s="89"/>
      <c r="D31" s="44"/>
      <c r="E31" s="19"/>
      <c r="F31" s="8"/>
      <c r="G31" s="6"/>
      <c r="H31" s="5"/>
      <c r="I31" s="6"/>
      <c r="J31" s="6"/>
      <c r="K31" s="6"/>
      <c r="L31" s="13"/>
    </row>
    <row r="32" spans="2:12" x14ac:dyDescent="0.3">
      <c r="B32" s="11"/>
      <c r="C32" s="92">
        <f>D4</f>
        <v>0.03</v>
      </c>
      <c r="D32" s="44">
        <f>NPV((1+D4)^(D6/12)-1,F28:K28)</f>
        <v>-27618122.103056241</v>
      </c>
      <c r="E32" s="19"/>
      <c r="F32" s="8"/>
      <c r="G32" s="93"/>
      <c r="H32" s="14"/>
      <c r="I32" s="5"/>
      <c r="J32" s="14"/>
      <c r="K32" s="6"/>
      <c r="L32" s="13"/>
    </row>
    <row r="33" spans="2:12" x14ac:dyDescent="0.3">
      <c r="B33" s="11"/>
      <c r="C33" s="66">
        <f>D5</f>
        <v>7.0000000000000007E-2</v>
      </c>
      <c r="D33" s="67">
        <f>NPV((1+D5)^(D6/12)-1,F29:K29)</f>
        <v>30883185.571010176</v>
      </c>
      <c r="E33" s="19"/>
      <c r="F33" s="8"/>
      <c r="G33" s="93"/>
      <c r="H33" s="14"/>
      <c r="I33" s="5"/>
      <c r="J33" s="14"/>
      <c r="K33" s="6"/>
      <c r="L33" s="13"/>
    </row>
    <row r="34" spans="2:12" x14ac:dyDescent="0.3">
      <c r="B34" s="11"/>
      <c r="C34" s="64" t="s">
        <v>28</v>
      </c>
      <c r="D34" s="65">
        <f>D33+D32</f>
        <v>3265063.4679539353</v>
      </c>
      <c r="E34" s="19"/>
      <c r="F34" s="8"/>
      <c r="G34" s="93"/>
      <c r="H34" s="14"/>
      <c r="I34" s="5"/>
      <c r="J34" s="14"/>
      <c r="K34" s="6"/>
      <c r="L34" s="13"/>
    </row>
    <row r="35" spans="2:12" ht="9.75" customHeight="1" thickBot="1" x14ac:dyDescent="0.35">
      <c r="B35" s="18"/>
      <c r="C35" s="33"/>
      <c r="D35" s="33"/>
      <c r="E35" s="20"/>
      <c r="F35" s="15"/>
      <c r="G35" s="15"/>
      <c r="H35" s="15"/>
      <c r="I35" s="15"/>
      <c r="J35" s="15"/>
      <c r="K35" s="15"/>
      <c r="L35" s="16"/>
    </row>
    <row r="36" spans="2:12" ht="12.5" thickTop="1" x14ac:dyDescent="0.3"/>
    <row r="37" spans="2:12" x14ac:dyDescent="0.3">
      <c r="F37" s="2"/>
    </row>
    <row r="38" spans="2:12" x14ac:dyDescent="0.3">
      <c r="B38" s="4"/>
      <c r="C38" s="4"/>
      <c r="D38" s="4"/>
      <c r="E38" s="4"/>
      <c r="F38" s="3"/>
    </row>
    <row r="41" spans="2:12" x14ac:dyDescent="0.3">
      <c r="B41" s="4"/>
      <c r="C41" s="4"/>
      <c r="D41" s="4"/>
      <c r="E41" s="4"/>
      <c r="F41" s="3"/>
    </row>
  </sheetData>
  <mergeCells count="6">
    <mergeCell ref="C12:E12"/>
    <mergeCell ref="B8:L8"/>
    <mergeCell ref="B10:D10"/>
    <mergeCell ref="F11:G11"/>
    <mergeCell ref="H11:I11"/>
    <mergeCell ref="J11:K11"/>
  </mergeCells>
  <conditionalFormatting sqref="F13:K17 F19:K19 F20:I26 C27:I27 J20:K27 E35 F28:K30 L10:L30 D31:E34 D28:D30 G31:L35">
    <cfRule type="cellIs" dxfId="2" priority="5" stopIfTrue="1" operator="lessThan">
      <formula>0</formula>
    </cfRule>
  </conditionalFormatting>
  <conditionalFormatting sqref="B13:E13">
    <cfRule type="cellIs" dxfId="1" priority="4" stopIfTrue="1" operator="lessThan">
      <formula>0</formula>
    </cfRule>
  </conditionalFormatting>
  <conditionalFormatting sqref="F35">
    <cfRule type="cellIs" dxfId="0" priority="3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2:AB65"/>
  <sheetViews>
    <sheetView zoomScale="70" zoomScaleNormal="70" workbookViewId="0"/>
  </sheetViews>
  <sheetFormatPr defaultColWidth="9" defaultRowHeight="12" x14ac:dyDescent="0.3"/>
  <cols>
    <col min="1" max="1" width="2.54296875" style="8" customWidth="1"/>
    <col min="2" max="2" width="16.81640625" style="8" customWidth="1"/>
    <col min="3" max="3" width="2.54296875" style="8" customWidth="1"/>
    <col min="4" max="27" width="9.54296875" style="8" customWidth="1"/>
    <col min="28" max="16384" width="9" style="8"/>
  </cols>
  <sheetData>
    <row r="22" spans="2:28" x14ac:dyDescent="0.3">
      <c r="B22" s="35" t="s">
        <v>26</v>
      </c>
    </row>
    <row r="23" spans="2:28" x14ac:dyDescent="0.3">
      <c r="B23" s="36">
        <f>-SUM('Fig 10.1'!F17:K17)</f>
        <v>22193992</v>
      </c>
    </row>
    <row r="25" spans="2:28" x14ac:dyDescent="0.3">
      <c r="B25" s="32">
        <v>24</v>
      </c>
      <c r="C25" s="30"/>
      <c r="D25" s="37">
        <v>1</v>
      </c>
      <c r="E25" s="37">
        <f>D25+1</f>
        <v>2</v>
      </c>
      <c r="F25" s="37">
        <f t="shared" ref="F25:AA25" si="0">E25+1</f>
        <v>3</v>
      </c>
      <c r="G25" s="37">
        <f t="shared" si="0"/>
        <v>4</v>
      </c>
      <c r="H25" s="37">
        <f t="shared" si="0"/>
        <v>5</v>
      </c>
      <c r="I25" s="37">
        <f t="shared" si="0"/>
        <v>6</v>
      </c>
      <c r="J25" s="37">
        <f t="shared" si="0"/>
        <v>7</v>
      </c>
      <c r="K25" s="37">
        <f t="shared" si="0"/>
        <v>8</v>
      </c>
      <c r="L25" s="37">
        <f t="shared" si="0"/>
        <v>9</v>
      </c>
      <c r="M25" s="37">
        <f t="shared" si="0"/>
        <v>10</v>
      </c>
      <c r="N25" s="37">
        <f t="shared" si="0"/>
        <v>11</v>
      </c>
      <c r="O25" s="37">
        <f t="shared" si="0"/>
        <v>12</v>
      </c>
      <c r="P25" s="37">
        <f t="shared" si="0"/>
        <v>13</v>
      </c>
      <c r="Q25" s="37">
        <f t="shared" si="0"/>
        <v>14</v>
      </c>
      <c r="R25" s="37">
        <f t="shared" si="0"/>
        <v>15</v>
      </c>
      <c r="S25" s="37">
        <f t="shared" si="0"/>
        <v>16</v>
      </c>
      <c r="T25" s="37">
        <f t="shared" si="0"/>
        <v>17</v>
      </c>
      <c r="U25" s="37">
        <f t="shared" si="0"/>
        <v>18</v>
      </c>
      <c r="V25" s="37">
        <f t="shared" si="0"/>
        <v>19</v>
      </c>
      <c r="W25" s="37">
        <f t="shared" si="0"/>
        <v>20</v>
      </c>
      <c r="X25" s="37">
        <f t="shared" si="0"/>
        <v>21</v>
      </c>
      <c r="Y25" s="37">
        <f t="shared" si="0"/>
        <v>22</v>
      </c>
      <c r="Z25" s="37">
        <f t="shared" si="0"/>
        <v>23</v>
      </c>
      <c r="AA25" s="37">
        <f t="shared" si="0"/>
        <v>24</v>
      </c>
    </row>
    <row r="26" spans="2:28" x14ac:dyDescent="0.3">
      <c r="B26" s="37" t="s">
        <v>29</v>
      </c>
      <c r="C26" s="30"/>
      <c r="D26" s="38">
        <f>VLOOKUP($B$25,$B$35:$AA$58,D25+2)</f>
        <v>0.01</v>
      </c>
      <c r="E26" s="38">
        <f t="shared" ref="E26:AA26" si="1">VLOOKUP($B$25,$B$35:$AA$58,E25+2)</f>
        <v>0.01</v>
      </c>
      <c r="F26" s="38">
        <f t="shared" si="1"/>
        <v>0.01</v>
      </c>
      <c r="G26" s="38">
        <f t="shared" si="1"/>
        <v>0.01</v>
      </c>
      <c r="H26" s="38">
        <f t="shared" si="1"/>
        <v>0.01</v>
      </c>
      <c r="I26" s="38">
        <f t="shared" si="1"/>
        <v>0.02</v>
      </c>
      <c r="J26" s="38">
        <f t="shared" si="1"/>
        <v>0.02</v>
      </c>
      <c r="K26" s="38">
        <f t="shared" si="1"/>
        <v>0.02</v>
      </c>
      <c r="L26" s="38">
        <f t="shared" si="1"/>
        <v>0.03</v>
      </c>
      <c r="M26" s="38">
        <f t="shared" si="1"/>
        <v>0.05</v>
      </c>
      <c r="N26" s="38">
        <f t="shared" si="1"/>
        <v>0.06</v>
      </c>
      <c r="O26" s="38">
        <f t="shared" si="1"/>
        <v>7.0000000000000007E-2</v>
      </c>
      <c r="P26" s="38">
        <f t="shared" si="1"/>
        <v>7.0000000000000007E-2</v>
      </c>
      <c r="Q26" s="38">
        <f t="shared" si="1"/>
        <v>0.08</v>
      </c>
      <c r="R26" s="38">
        <f t="shared" si="1"/>
        <v>0.08</v>
      </c>
      <c r="S26" s="38">
        <f t="shared" si="1"/>
        <v>0.08</v>
      </c>
      <c r="T26" s="38">
        <f t="shared" si="1"/>
        <v>0.08</v>
      </c>
      <c r="U26" s="38">
        <f t="shared" si="1"/>
        <v>0.08</v>
      </c>
      <c r="V26" s="38">
        <f t="shared" si="1"/>
        <v>0.08</v>
      </c>
      <c r="W26" s="38">
        <f t="shared" si="1"/>
        <v>0.05</v>
      </c>
      <c r="X26" s="38">
        <f t="shared" si="1"/>
        <v>0.03</v>
      </c>
      <c r="Y26" s="38">
        <f t="shared" si="1"/>
        <v>0.02</v>
      </c>
      <c r="Z26" s="38">
        <f t="shared" si="1"/>
        <v>0.02</v>
      </c>
      <c r="AA26" s="38">
        <f t="shared" si="1"/>
        <v>0.01</v>
      </c>
    </row>
    <row r="27" spans="2:28" x14ac:dyDescent="0.3">
      <c r="B27" s="37" t="s">
        <v>30</v>
      </c>
      <c r="C27" s="30"/>
      <c r="D27" s="40">
        <f>D26*$B$23</f>
        <v>221939.92</v>
      </c>
      <c r="E27" s="40">
        <f t="shared" ref="E27:AA27" si="2">E26*$B$23</f>
        <v>221939.92</v>
      </c>
      <c r="F27" s="40">
        <f t="shared" si="2"/>
        <v>221939.92</v>
      </c>
      <c r="G27" s="40">
        <f t="shared" si="2"/>
        <v>221939.92</v>
      </c>
      <c r="H27" s="40">
        <f t="shared" si="2"/>
        <v>221939.92</v>
      </c>
      <c r="I27" s="40">
        <f t="shared" si="2"/>
        <v>443879.84</v>
      </c>
      <c r="J27" s="40">
        <f t="shared" si="2"/>
        <v>443879.84</v>
      </c>
      <c r="K27" s="40">
        <f t="shared" si="2"/>
        <v>443879.84</v>
      </c>
      <c r="L27" s="40">
        <f t="shared" si="2"/>
        <v>665819.76</v>
      </c>
      <c r="M27" s="40">
        <f t="shared" si="2"/>
        <v>1109699.6000000001</v>
      </c>
      <c r="N27" s="40">
        <f t="shared" si="2"/>
        <v>1331639.52</v>
      </c>
      <c r="O27" s="40">
        <f t="shared" si="2"/>
        <v>1553579.4400000002</v>
      </c>
      <c r="P27" s="40">
        <f t="shared" si="2"/>
        <v>1553579.4400000002</v>
      </c>
      <c r="Q27" s="40">
        <f t="shared" si="2"/>
        <v>1775519.36</v>
      </c>
      <c r="R27" s="40">
        <f t="shared" si="2"/>
        <v>1775519.36</v>
      </c>
      <c r="S27" s="40">
        <f t="shared" si="2"/>
        <v>1775519.36</v>
      </c>
      <c r="T27" s="40">
        <f t="shared" si="2"/>
        <v>1775519.36</v>
      </c>
      <c r="U27" s="40">
        <f t="shared" si="2"/>
        <v>1775519.36</v>
      </c>
      <c r="V27" s="40">
        <f t="shared" si="2"/>
        <v>1775519.36</v>
      </c>
      <c r="W27" s="40">
        <f t="shared" si="2"/>
        <v>1109699.6000000001</v>
      </c>
      <c r="X27" s="40">
        <f t="shared" si="2"/>
        <v>665819.76</v>
      </c>
      <c r="Y27" s="40">
        <f t="shared" si="2"/>
        <v>443879.84</v>
      </c>
      <c r="Z27" s="40">
        <f t="shared" si="2"/>
        <v>443879.84</v>
      </c>
      <c r="AA27" s="40">
        <f t="shared" si="2"/>
        <v>221939.92</v>
      </c>
    </row>
    <row r="28" spans="2:28" x14ac:dyDescent="0.3">
      <c r="B28" s="37" t="s">
        <v>21</v>
      </c>
      <c r="C28" s="37"/>
      <c r="D28" s="38">
        <f>VLOOKUP($B$25,$B$35:$AA$58,D25+2)+C28</f>
        <v>0.01</v>
      </c>
      <c r="E28" s="38">
        <f t="shared" ref="E28:AA28" si="3">VLOOKUP($B$25,$B$35:$AA$58,E25+2)+D28</f>
        <v>0.02</v>
      </c>
      <c r="F28" s="38">
        <f t="shared" si="3"/>
        <v>0.03</v>
      </c>
      <c r="G28" s="38">
        <f t="shared" si="3"/>
        <v>0.04</v>
      </c>
      <c r="H28" s="38">
        <f t="shared" si="3"/>
        <v>0.05</v>
      </c>
      <c r="I28" s="38">
        <f t="shared" si="3"/>
        <v>7.0000000000000007E-2</v>
      </c>
      <c r="J28" s="38">
        <f t="shared" si="3"/>
        <v>9.0000000000000011E-2</v>
      </c>
      <c r="K28" s="38">
        <f t="shared" si="3"/>
        <v>0.11000000000000001</v>
      </c>
      <c r="L28" s="38">
        <f t="shared" si="3"/>
        <v>0.14000000000000001</v>
      </c>
      <c r="M28" s="38">
        <f t="shared" si="3"/>
        <v>0.19</v>
      </c>
      <c r="N28" s="38">
        <f t="shared" si="3"/>
        <v>0.25</v>
      </c>
      <c r="O28" s="38">
        <f t="shared" si="3"/>
        <v>0.32</v>
      </c>
      <c r="P28" s="38">
        <f t="shared" si="3"/>
        <v>0.39</v>
      </c>
      <c r="Q28" s="38">
        <f t="shared" si="3"/>
        <v>0.47000000000000003</v>
      </c>
      <c r="R28" s="38">
        <f t="shared" si="3"/>
        <v>0.55000000000000004</v>
      </c>
      <c r="S28" s="38">
        <f t="shared" si="3"/>
        <v>0.63</v>
      </c>
      <c r="T28" s="38">
        <f t="shared" si="3"/>
        <v>0.71</v>
      </c>
      <c r="U28" s="38">
        <f t="shared" si="3"/>
        <v>0.78999999999999992</v>
      </c>
      <c r="V28" s="38">
        <f t="shared" si="3"/>
        <v>0.86999999999999988</v>
      </c>
      <c r="W28" s="38">
        <f t="shared" si="3"/>
        <v>0.91999999999999993</v>
      </c>
      <c r="X28" s="38">
        <f t="shared" si="3"/>
        <v>0.95</v>
      </c>
      <c r="Y28" s="38">
        <f t="shared" si="3"/>
        <v>0.97</v>
      </c>
      <c r="Z28" s="38">
        <f t="shared" si="3"/>
        <v>0.99</v>
      </c>
      <c r="AA28" s="38">
        <f t="shared" si="3"/>
        <v>1</v>
      </c>
      <c r="AB28" s="37"/>
    </row>
    <row r="29" spans="2:28" x14ac:dyDescent="0.3">
      <c r="B29" s="39" t="s">
        <v>25</v>
      </c>
      <c r="C29" s="39"/>
      <c r="D29" s="40">
        <f t="shared" ref="D29:AA29" si="4">$B$23*D28</f>
        <v>221939.92</v>
      </c>
      <c r="E29" s="40">
        <f t="shared" si="4"/>
        <v>443879.84</v>
      </c>
      <c r="F29" s="40">
        <f t="shared" si="4"/>
        <v>665819.76</v>
      </c>
      <c r="G29" s="40">
        <f t="shared" si="4"/>
        <v>887759.68</v>
      </c>
      <c r="H29" s="40">
        <f t="shared" si="4"/>
        <v>1109699.6000000001</v>
      </c>
      <c r="I29" s="40">
        <f t="shared" si="4"/>
        <v>1553579.4400000002</v>
      </c>
      <c r="J29" s="40">
        <f t="shared" si="4"/>
        <v>1997459.2800000003</v>
      </c>
      <c r="K29" s="40">
        <f t="shared" si="4"/>
        <v>2441339.12</v>
      </c>
      <c r="L29" s="40">
        <f t="shared" si="4"/>
        <v>3107158.8800000004</v>
      </c>
      <c r="M29" s="40">
        <f t="shared" si="4"/>
        <v>4216858.4800000004</v>
      </c>
      <c r="N29" s="40">
        <f t="shared" si="4"/>
        <v>5548498</v>
      </c>
      <c r="O29" s="40">
        <f t="shared" si="4"/>
        <v>7102077.4400000004</v>
      </c>
      <c r="P29" s="40">
        <f t="shared" si="4"/>
        <v>8655656.8800000008</v>
      </c>
      <c r="Q29" s="40">
        <f t="shared" si="4"/>
        <v>10431176.24</v>
      </c>
      <c r="R29" s="40">
        <f t="shared" si="4"/>
        <v>12206695.600000001</v>
      </c>
      <c r="S29" s="40">
        <f t="shared" si="4"/>
        <v>13982214.960000001</v>
      </c>
      <c r="T29" s="40">
        <f t="shared" si="4"/>
        <v>15757734.319999998</v>
      </c>
      <c r="U29" s="40">
        <f t="shared" si="4"/>
        <v>17533253.68</v>
      </c>
      <c r="V29" s="40">
        <f t="shared" si="4"/>
        <v>19308773.039999999</v>
      </c>
      <c r="W29" s="40">
        <f t="shared" si="4"/>
        <v>20418472.639999997</v>
      </c>
      <c r="X29" s="40">
        <f t="shared" si="4"/>
        <v>21084292.399999999</v>
      </c>
      <c r="Y29" s="40">
        <f t="shared" si="4"/>
        <v>21528172.239999998</v>
      </c>
      <c r="Z29" s="40">
        <f t="shared" si="4"/>
        <v>21972052.079999998</v>
      </c>
      <c r="AA29" s="40">
        <f t="shared" si="4"/>
        <v>22193992</v>
      </c>
      <c r="AB29" s="37"/>
    </row>
    <row r="32" spans="2:28" x14ac:dyDescent="0.3">
      <c r="D32" s="108" t="s">
        <v>24</v>
      </c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</row>
    <row r="33" spans="2:27" x14ac:dyDescent="0.3">
      <c r="D33" s="31">
        <v>1</v>
      </c>
      <c r="E33" s="31">
        <f>D33+1</f>
        <v>2</v>
      </c>
      <c r="F33" s="31">
        <f t="shared" ref="F33:AA33" si="5">E33+1</f>
        <v>3</v>
      </c>
      <c r="G33" s="31">
        <f t="shared" si="5"/>
        <v>4</v>
      </c>
      <c r="H33" s="31">
        <f t="shared" si="5"/>
        <v>5</v>
      </c>
      <c r="I33" s="31">
        <f t="shared" si="5"/>
        <v>6</v>
      </c>
      <c r="J33" s="31">
        <f t="shared" si="5"/>
        <v>7</v>
      </c>
      <c r="K33" s="31">
        <f t="shared" si="5"/>
        <v>8</v>
      </c>
      <c r="L33" s="31">
        <f t="shared" si="5"/>
        <v>9</v>
      </c>
      <c r="M33" s="31">
        <f t="shared" si="5"/>
        <v>10</v>
      </c>
      <c r="N33" s="31">
        <f t="shared" si="5"/>
        <v>11</v>
      </c>
      <c r="O33" s="31">
        <f t="shared" si="5"/>
        <v>12</v>
      </c>
      <c r="P33" s="31">
        <f t="shared" si="5"/>
        <v>13</v>
      </c>
      <c r="Q33" s="31">
        <f t="shared" si="5"/>
        <v>14</v>
      </c>
      <c r="R33" s="31">
        <f t="shared" si="5"/>
        <v>15</v>
      </c>
      <c r="S33" s="31">
        <f t="shared" si="5"/>
        <v>16</v>
      </c>
      <c r="T33" s="31">
        <f t="shared" si="5"/>
        <v>17</v>
      </c>
      <c r="U33" s="31">
        <f t="shared" si="5"/>
        <v>18</v>
      </c>
      <c r="V33" s="31">
        <f t="shared" si="5"/>
        <v>19</v>
      </c>
      <c r="W33" s="31">
        <f t="shared" si="5"/>
        <v>20</v>
      </c>
      <c r="X33" s="31">
        <f t="shared" si="5"/>
        <v>21</v>
      </c>
      <c r="Y33" s="31">
        <f t="shared" si="5"/>
        <v>22</v>
      </c>
      <c r="Z33" s="31">
        <f t="shared" si="5"/>
        <v>23</v>
      </c>
      <c r="AA33" s="31">
        <f t="shared" si="5"/>
        <v>24</v>
      </c>
    </row>
    <row r="34" spans="2:27" ht="24" x14ac:dyDescent="0.3">
      <c r="B34" s="41" t="s">
        <v>22</v>
      </c>
      <c r="C34" s="21"/>
      <c r="D34" s="109" t="s">
        <v>23</v>
      </c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</row>
    <row r="35" spans="2:27" x14ac:dyDescent="0.3">
      <c r="B35" s="42">
        <v>1</v>
      </c>
      <c r="C35" s="22"/>
      <c r="D35" s="23">
        <v>1</v>
      </c>
      <c r="E35" s="24"/>
      <c r="F35" s="24"/>
      <c r="G35" s="24"/>
      <c r="H35" s="24"/>
      <c r="I35" s="24"/>
      <c r="J35" s="25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2:27" x14ac:dyDescent="0.3">
      <c r="B36" s="42">
        <f>B35+1</f>
        <v>2</v>
      </c>
      <c r="C36" s="22"/>
      <c r="D36" s="23">
        <v>0.5</v>
      </c>
      <c r="E36" s="23">
        <v>0.5</v>
      </c>
      <c r="F36" s="24"/>
      <c r="G36" s="24"/>
      <c r="H36" s="24"/>
      <c r="I36" s="24"/>
      <c r="J36" s="25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2:27" x14ac:dyDescent="0.3">
      <c r="B37" s="42">
        <f t="shared" ref="B37:B58" si="6">B36+1</f>
        <v>3</v>
      </c>
      <c r="C37" s="22"/>
      <c r="D37" s="23">
        <v>0.33333299999999999</v>
      </c>
      <c r="E37" s="23">
        <v>0.33333299999999999</v>
      </c>
      <c r="F37" s="23">
        <v>0.33333299999999999</v>
      </c>
      <c r="G37" s="24"/>
      <c r="H37" s="24"/>
      <c r="I37" s="24"/>
      <c r="J37" s="25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2:27" x14ac:dyDescent="0.3">
      <c r="B38" s="42">
        <f t="shared" si="6"/>
        <v>4</v>
      </c>
      <c r="C38" s="22"/>
      <c r="D38" s="23">
        <v>0.2</v>
      </c>
      <c r="E38" s="23">
        <v>0.3</v>
      </c>
      <c r="F38" s="23">
        <v>0.3</v>
      </c>
      <c r="G38" s="23">
        <v>0.2</v>
      </c>
      <c r="H38" s="23"/>
      <c r="I38" s="23"/>
      <c r="J38" s="26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2:27" x14ac:dyDescent="0.3">
      <c r="B39" s="42">
        <f t="shared" si="6"/>
        <v>5</v>
      </c>
      <c r="C39" s="22"/>
      <c r="D39" s="23">
        <v>0.15</v>
      </c>
      <c r="E39" s="23">
        <v>0.2</v>
      </c>
      <c r="F39" s="23">
        <v>0.3</v>
      </c>
      <c r="G39" s="23">
        <v>0.2</v>
      </c>
      <c r="H39" s="23">
        <v>0.15</v>
      </c>
      <c r="I39" s="23"/>
      <c r="J39" s="26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2:27" x14ac:dyDescent="0.3">
      <c r="B40" s="42">
        <f t="shared" si="6"/>
        <v>6</v>
      </c>
      <c r="C40" s="22"/>
      <c r="D40" s="23">
        <v>0.1</v>
      </c>
      <c r="E40" s="23">
        <v>0.15</v>
      </c>
      <c r="F40" s="23">
        <v>0.25</v>
      </c>
      <c r="G40" s="23">
        <v>0.25</v>
      </c>
      <c r="H40" s="23">
        <v>0.15</v>
      </c>
      <c r="I40" s="23">
        <v>0.1</v>
      </c>
      <c r="J40" s="26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2:27" x14ac:dyDescent="0.3">
      <c r="B41" s="42">
        <f t="shared" si="6"/>
        <v>7</v>
      </c>
      <c r="C41" s="22"/>
      <c r="D41" s="23">
        <v>7.4999999999999997E-2</v>
      </c>
      <c r="E41" s="23">
        <v>0.125</v>
      </c>
      <c r="F41" s="23">
        <v>0.17499999999999999</v>
      </c>
      <c r="G41" s="23">
        <v>0.25</v>
      </c>
      <c r="H41" s="23">
        <v>0.17499999999999999</v>
      </c>
      <c r="I41" s="23">
        <v>0.125</v>
      </c>
      <c r="J41" s="26">
        <v>7.4999999999999997E-2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2:27" x14ac:dyDescent="0.3">
      <c r="B42" s="42">
        <f t="shared" si="6"/>
        <v>8</v>
      </c>
      <c r="C42" s="22"/>
      <c r="D42" s="23">
        <v>0.05</v>
      </c>
      <c r="E42" s="23">
        <v>0.1</v>
      </c>
      <c r="F42" s="23">
        <v>0.15</v>
      </c>
      <c r="G42" s="23">
        <v>0.2</v>
      </c>
      <c r="H42" s="23">
        <v>0.2</v>
      </c>
      <c r="I42" s="23">
        <v>0.15</v>
      </c>
      <c r="J42" s="26">
        <v>0.1</v>
      </c>
      <c r="K42" s="23">
        <v>0.05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2:27" x14ac:dyDescent="0.3">
      <c r="B43" s="42">
        <f t="shared" si="6"/>
        <v>9</v>
      </c>
      <c r="C43" s="22"/>
      <c r="D43" s="23">
        <v>0.05</v>
      </c>
      <c r="E43" s="23">
        <v>7.4999999999999997E-2</v>
      </c>
      <c r="F43" s="23">
        <v>0.125</v>
      </c>
      <c r="G43" s="23">
        <v>0.15</v>
      </c>
      <c r="H43" s="23">
        <v>0.2</v>
      </c>
      <c r="I43" s="23">
        <v>0.15</v>
      </c>
      <c r="J43" s="26">
        <v>0.125</v>
      </c>
      <c r="K43" s="23">
        <v>7.4999999999999997E-2</v>
      </c>
      <c r="L43" s="23">
        <v>0.05</v>
      </c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2:27" x14ac:dyDescent="0.3">
      <c r="B44" s="42">
        <f t="shared" si="6"/>
        <v>10</v>
      </c>
      <c r="C44" s="22"/>
      <c r="D44" s="23">
        <v>0.04</v>
      </c>
      <c r="E44" s="23">
        <v>6.5000000000000002E-2</v>
      </c>
      <c r="F44" s="23">
        <v>0.1</v>
      </c>
      <c r="G44" s="23">
        <v>0.125</v>
      </c>
      <c r="H44" s="23">
        <v>0.17</v>
      </c>
      <c r="I44" s="23">
        <v>0.17</v>
      </c>
      <c r="J44" s="26">
        <v>0.125</v>
      </c>
      <c r="K44" s="23">
        <v>0.1</v>
      </c>
      <c r="L44" s="23">
        <v>6.5000000000000002E-2</v>
      </c>
      <c r="M44" s="23">
        <v>0.04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2:27" x14ac:dyDescent="0.3">
      <c r="B45" s="42">
        <f t="shared" si="6"/>
        <v>11</v>
      </c>
      <c r="C45" s="22"/>
      <c r="D45" s="23">
        <v>3.5000000000000003E-2</v>
      </c>
      <c r="E45" s="23">
        <v>0.05</v>
      </c>
      <c r="F45" s="23">
        <v>0.09</v>
      </c>
      <c r="G45" s="23">
        <v>0.12</v>
      </c>
      <c r="H45" s="23">
        <v>0.13</v>
      </c>
      <c r="I45" s="23">
        <v>0.15</v>
      </c>
      <c r="J45" s="26">
        <v>0.13</v>
      </c>
      <c r="K45" s="23">
        <v>0.12</v>
      </c>
      <c r="L45" s="23">
        <v>0.09</v>
      </c>
      <c r="M45" s="23">
        <v>0.05</v>
      </c>
      <c r="N45" s="23">
        <v>3.5000000000000003E-2</v>
      </c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2:27" x14ac:dyDescent="0.3">
      <c r="B46" s="42">
        <f t="shared" si="6"/>
        <v>12</v>
      </c>
      <c r="C46" s="22"/>
      <c r="D46" s="23">
        <v>0.03</v>
      </c>
      <c r="E46" s="23">
        <v>0.05</v>
      </c>
      <c r="F46" s="23">
        <v>7.0000000000000007E-2</v>
      </c>
      <c r="G46" s="23">
        <v>0.1</v>
      </c>
      <c r="H46" s="23">
        <v>0.12</v>
      </c>
      <c r="I46" s="23">
        <v>0.13</v>
      </c>
      <c r="J46" s="26">
        <v>0.13</v>
      </c>
      <c r="K46" s="23">
        <v>0.12</v>
      </c>
      <c r="L46" s="23">
        <v>0.1</v>
      </c>
      <c r="M46" s="23">
        <v>7.0000000000000007E-2</v>
      </c>
      <c r="N46" s="23">
        <v>0.05</v>
      </c>
      <c r="O46" s="23">
        <v>0.03</v>
      </c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2:27" x14ac:dyDescent="0.3">
      <c r="B47" s="42">
        <f t="shared" si="6"/>
        <v>13</v>
      </c>
      <c r="C47" s="22"/>
      <c r="D47" s="23">
        <v>2.5000000000000001E-2</v>
      </c>
      <c r="E47" s="23">
        <v>0.04</v>
      </c>
      <c r="F47" s="23">
        <v>0.06</v>
      </c>
      <c r="G47" s="23">
        <v>0.09</v>
      </c>
      <c r="H47" s="23">
        <v>0.11</v>
      </c>
      <c r="I47" s="23">
        <v>0.11</v>
      </c>
      <c r="J47" s="26">
        <v>0.13</v>
      </c>
      <c r="K47" s="23">
        <v>0.11</v>
      </c>
      <c r="L47" s="23">
        <v>0.11</v>
      </c>
      <c r="M47" s="23">
        <v>0.09</v>
      </c>
      <c r="N47" s="23">
        <v>0.06</v>
      </c>
      <c r="O47" s="23">
        <v>0.04</v>
      </c>
      <c r="P47" s="23">
        <v>2.5000000000000001E-2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2:27" x14ac:dyDescent="0.3">
      <c r="B48" s="42">
        <f t="shared" si="6"/>
        <v>14</v>
      </c>
      <c r="C48" s="22"/>
      <c r="D48" s="23">
        <v>0.02</v>
      </c>
      <c r="E48" s="23">
        <v>0.04</v>
      </c>
      <c r="F48" s="23">
        <v>0.06</v>
      </c>
      <c r="G48" s="23">
        <v>0.08</v>
      </c>
      <c r="H48" s="23">
        <v>0.08</v>
      </c>
      <c r="I48" s="23">
        <v>0.1</v>
      </c>
      <c r="J48" s="26">
        <v>0.12</v>
      </c>
      <c r="K48" s="23">
        <v>0.12</v>
      </c>
      <c r="L48" s="23">
        <v>0.1</v>
      </c>
      <c r="M48" s="23">
        <v>0.08</v>
      </c>
      <c r="N48" s="23">
        <v>0.08</v>
      </c>
      <c r="O48" s="23">
        <v>0.06</v>
      </c>
      <c r="P48" s="23">
        <v>0.04</v>
      </c>
      <c r="Q48" s="23">
        <v>0.02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2:27" x14ac:dyDescent="0.3">
      <c r="B49" s="42">
        <f t="shared" si="6"/>
        <v>15</v>
      </c>
      <c r="C49" s="22"/>
      <c r="D49" s="23">
        <v>0.02</v>
      </c>
      <c r="E49" s="23">
        <v>0.03</v>
      </c>
      <c r="F49" s="23">
        <v>0.05</v>
      </c>
      <c r="G49" s="23">
        <v>7.0000000000000007E-2</v>
      </c>
      <c r="H49" s="23">
        <v>0.08</v>
      </c>
      <c r="I49" s="23">
        <v>0.09</v>
      </c>
      <c r="J49" s="26">
        <v>0.1</v>
      </c>
      <c r="K49" s="23">
        <v>0.12</v>
      </c>
      <c r="L49" s="23">
        <v>0.1</v>
      </c>
      <c r="M49" s="23">
        <v>0.09</v>
      </c>
      <c r="N49" s="23">
        <v>0.08</v>
      </c>
      <c r="O49" s="23">
        <v>7.0000000000000007E-2</v>
      </c>
      <c r="P49" s="23">
        <v>0.05</v>
      </c>
      <c r="Q49" s="23">
        <v>0.03</v>
      </c>
      <c r="R49" s="23">
        <v>0.02</v>
      </c>
      <c r="S49" s="23"/>
      <c r="T49" s="23"/>
      <c r="U49" s="23"/>
      <c r="V49" s="23"/>
      <c r="W49" s="23"/>
      <c r="X49" s="23"/>
      <c r="Y49" s="23"/>
      <c r="Z49" s="23"/>
      <c r="AA49" s="23"/>
    </row>
    <row r="50" spans="2:27" x14ac:dyDescent="0.3">
      <c r="B50" s="42">
        <f t="shared" si="6"/>
        <v>16</v>
      </c>
      <c r="C50" s="22"/>
      <c r="D50" s="23">
        <v>0.02</v>
      </c>
      <c r="E50" s="23">
        <v>0.03</v>
      </c>
      <c r="F50" s="23">
        <v>0.05</v>
      </c>
      <c r="G50" s="23">
        <v>0.06</v>
      </c>
      <c r="H50" s="23">
        <v>7.0000000000000007E-2</v>
      </c>
      <c r="I50" s="23">
        <v>0.08</v>
      </c>
      <c r="J50" s="23">
        <v>0.09</v>
      </c>
      <c r="K50" s="23">
        <v>0.1</v>
      </c>
      <c r="L50" s="23">
        <v>0.1</v>
      </c>
      <c r="M50" s="23">
        <v>0.09</v>
      </c>
      <c r="N50" s="23">
        <v>0.08</v>
      </c>
      <c r="O50" s="23">
        <v>7.0000000000000007E-2</v>
      </c>
      <c r="P50" s="23">
        <v>0.06</v>
      </c>
      <c r="Q50" s="23">
        <v>0.05</v>
      </c>
      <c r="R50" s="23">
        <v>0.03</v>
      </c>
      <c r="S50" s="23">
        <v>0.02</v>
      </c>
      <c r="T50" s="23"/>
      <c r="U50" s="23"/>
      <c r="V50" s="23"/>
      <c r="W50" s="23"/>
      <c r="X50" s="23"/>
      <c r="Y50" s="23"/>
      <c r="Z50" s="23"/>
      <c r="AA50" s="23"/>
    </row>
    <row r="51" spans="2:27" x14ac:dyDescent="0.3">
      <c r="B51" s="42">
        <f t="shared" si="6"/>
        <v>17</v>
      </c>
      <c r="C51" s="22"/>
      <c r="D51" s="23">
        <v>0.02</v>
      </c>
      <c r="E51" s="23">
        <v>0.03</v>
      </c>
      <c r="F51" s="23">
        <v>0.04</v>
      </c>
      <c r="G51" s="23">
        <v>0.05</v>
      </c>
      <c r="H51" s="23">
        <v>0.06</v>
      </c>
      <c r="I51" s="23">
        <v>7.0000000000000007E-2</v>
      </c>
      <c r="J51" s="23">
        <v>0.09</v>
      </c>
      <c r="K51" s="23">
        <v>0.09</v>
      </c>
      <c r="L51" s="23">
        <v>0.1</v>
      </c>
      <c r="M51" s="23">
        <v>0.09</v>
      </c>
      <c r="N51" s="23">
        <v>0.09</v>
      </c>
      <c r="O51" s="23">
        <v>7.0000000000000007E-2</v>
      </c>
      <c r="P51" s="23">
        <v>0.06</v>
      </c>
      <c r="Q51" s="23">
        <v>0.05</v>
      </c>
      <c r="R51" s="23">
        <v>0.04</v>
      </c>
      <c r="S51" s="23">
        <v>0.03</v>
      </c>
      <c r="T51" s="23">
        <v>0.02</v>
      </c>
      <c r="U51" s="23"/>
      <c r="V51" s="23"/>
      <c r="W51" s="23"/>
      <c r="X51" s="23"/>
      <c r="Y51" s="23"/>
      <c r="Z51" s="23"/>
      <c r="AA51" s="23"/>
    </row>
    <row r="52" spans="2:27" x14ac:dyDescent="0.3">
      <c r="B52" s="42">
        <f t="shared" si="6"/>
        <v>18</v>
      </c>
      <c r="C52" s="22"/>
      <c r="D52" s="23">
        <v>1.4999999999999999E-2</v>
      </c>
      <c r="E52" s="23">
        <v>2.5000000000000001E-2</v>
      </c>
      <c r="F52" s="23">
        <v>2.5000000000000001E-2</v>
      </c>
      <c r="G52" s="23">
        <v>2.5000000000000001E-2</v>
      </c>
      <c r="H52" s="23">
        <v>0.03</v>
      </c>
      <c r="I52" s="23">
        <v>0.04</v>
      </c>
      <c r="J52" s="23">
        <v>0.05</v>
      </c>
      <c r="K52" s="23">
        <v>0.08</v>
      </c>
      <c r="L52" s="23">
        <v>0.1</v>
      </c>
      <c r="M52" s="23">
        <v>0.1</v>
      </c>
      <c r="N52" s="23">
        <v>0.08</v>
      </c>
      <c r="O52" s="23">
        <v>0.08</v>
      </c>
      <c r="P52" s="23">
        <v>0.08</v>
      </c>
      <c r="Q52" s="23">
        <v>0.08</v>
      </c>
      <c r="R52" s="23">
        <v>0.08</v>
      </c>
      <c r="S52" s="23">
        <v>0.06</v>
      </c>
      <c r="T52" s="23">
        <v>0.03</v>
      </c>
      <c r="U52" s="23">
        <v>0.02</v>
      </c>
      <c r="V52" s="23"/>
      <c r="W52" s="23"/>
      <c r="X52" s="23"/>
      <c r="Y52" s="23"/>
      <c r="Z52" s="23"/>
      <c r="AA52" s="23"/>
    </row>
    <row r="53" spans="2:27" x14ac:dyDescent="0.3">
      <c r="B53" s="42">
        <f t="shared" si="6"/>
        <v>19</v>
      </c>
      <c r="C53" s="22"/>
      <c r="D53" s="23">
        <v>1.4999999999999999E-2</v>
      </c>
      <c r="E53" s="23">
        <v>2.5000000000000001E-2</v>
      </c>
      <c r="F53" s="23">
        <v>2.5000000000000001E-2</v>
      </c>
      <c r="G53" s="23">
        <v>2.5000000000000001E-2</v>
      </c>
      <c r="H53" s="23">
        <v>2.5000000000000001E-2</v>
      </c>
      <c r="I53" s="23">
        <v>0.03</v>
      </c>
      <c r="J53" s="23">
        <v>0.05</v>
      </c>
      <c r="K53" s="23">
        <v>6.5000000000000002E-2</v>
      </c>
      <c r="L53" s="23">
        <v>0.08</v>
      </c>
      <c r="M53" s="23">
        <v>0.08</v>
      </c>
      <c r="N53" s="23">
        <v>0.08</v>
      </c>
      <c r="O53" s="23">
        <v>0.08</v>
      </c>
      <c r="P53" s="23">
        <v>0.08</v>
      </c>
      <c r="Q53" s="23">
        <v>0.08</v>
      </c>
      <c r="R53" s="23">
        <v>0.08</v>
      </c>
      <c r="S53" s="23">
        <v>0.08</v>
      </c>
      <c r="T53" s="23">
        <v>0.06</v>
      </c>
      <c r="U53" s="23">
        <v>0.03</v>
      </c>
      <c r="V53" s="23">
        <v>0.01</v>
      </c>
      <c r="W53" s="23"/>
      <c r="X53" s="23"/>
      <c r="Y53" s="23"/>
      <c r="Z53" s="23"/>
      <c r="AA53" s="23"/>
    </row>
    <row r="54" spans="2:27" x14ac:dyDescent="0.3">
      <c r="B54" s="42">
        <f t="shared" si="6"/>
        <v>20</v>
      </c>
      <c r="C54" s="22"/>
      <c r="D54" s="26">
        <v>1.4999999999999999E-2</v>
      </c>
      <c r="E54" s="26">
        <v>1.4999999999999999E-2</v>
      </c>
      <c r="F54" s="26">
        <v>2.5000000000000001E-2</v>
      </c>
      <c r="G54" s="26">
        <v>2.5000000000000001E-2</v>
      </c>
      <c r="H54" s="26">
        <v>0.03</v>
      </c>
      <c r="I54" s="26">
        <v>0.03</v>
      </c>
      <c r="J54" s="26">
        <v>0.04</v>
      </c>
      <c r="K54" s="26">
        <v>0.05</v>
      </c>
      <c r="L54" s="26">
        <v>7.0000000000000007E-2</v>
      </c>
      <c r="M54" s="26">
        <v>7.0000000000000007E-2</v>
      </c>
      <c r="N54" s="26">
        <v>0.08</v>
      </c>
      <c r="O54" s="26">
        <v>0.08</v>
      </c>
      <c r="P54" s="26">
        <v>0.08</v>
      </c>
      <c r="Q54" s="26">
        <v>0.08</v>
      </c>
      <c r="R54" s="26">
        <v>0.08</v>
      </c>
      <c r="S54" s="26">
        <v>0.08</v>
      </c>
      <c r="T54" s="26">
        <v>7.0000000000000007E-2</v>
      </c>
      <c r="U54" s="26">
        <v>0.05</v>
      </c>
      <c r="V54" s="26">
        <v>0.02</v>
      </c>
      <c r="W54" s="26">
        <v>0.01</v>
      </c>
      <c r="X54" s="23"/>
      <c r="Y54" s="23"/>
      <c r="Z54" s="23"/>
      <c r="AA54" s="23"/>
    </row>
    <row r="55" spans="2:27" x14ac:dyDescent="0.3">
      <c r="B55" s="42">
        <f t="shared" si="6"/>
        <v>21</v>
      </c>
      <c r="C55" s="22"/>
      <c r="D55" s="23">
        <v>0.01</v>
      </c>
      <c r="E55" s="23">
        <v>0.01</v>
      </c>
      <c r="F55" s="23">
        <v>0.02</v>
      </c>
      <c r="G55" s="23">
        <v>0.02</v>
      </c>
      <c r="H55" s="23">
        <v>0.02</v>
      </c>
      <c r="I55" s="23">
        <v>0.03</v>
      </c>
      <c r="J55" s="23">
        <v>0.04</v>
      </c>
      <c r="K55" s="23">
        <v>0.05</v>
      </c>
      <c r="L55" s="23">
        <v>7.0000000000000007E-2</v>
      </c>
      <c r="M55" s="23">
        <v>7.0000000000000007E-2</v>
      </c>
      <c r="N55" s="23">
        <v>7.0000000000000007E-2</v>
      </c>
      <c r="O55" s="23">
        <v>0.08</v>
      </c>
      <c r="P55" s="23">
        <v>0.08</v>
      </c>
      <c r="Q55" s="23">
        <v>0.08</v>
      </c>
      <c r="R55" s="23">
        <v>0.08</v>
      </c>
      <c r="S55" s="23">
        <v>0.08</v>
      </c>
      <c r="T55" s="23">
        <v>0.08</v>
      </c>
      <c r="U55" s="23">
        <v>0.05</v>
      </c>
      <c r="V55" s="23">
        <v>0.03</v>
      </c>
      <c r="W55" s="23">
        <v>0.02</v>
      </c>
      <c r="X55" s="23">
        <v>0.01</v>
      </c>
      <c r="Y55" s="23"/>
      <c r="Z55" s="23"/>
      <c r="AA55" s="23"/>
    </row>
    <row r="56" spans="2:27" x14ac:dyDescent="0.3">
      <c r="B56" s="42">
        <f t="shared" si="6"/>
        <v>22</v>
      </c>
      <c r="C56" s="22"/>
      <c r="D56" s="23">
        <v>0.01</v>
      </c>
      <c r="E56" s="23">
        <v>0.01</v>
      </c>
      <c r="F56" s="23">
        <v>0.01</v>
      </c>
      <c r="G56" s="23">
        <v>0.02</v>
      </c>
      <c r="H56" s="23">
        <v>0.02</v>
      </c>
      <c r="I56" s="23">
        <v>0.02</v>
      </c>
      <c r="J56" s="23">
        <v>0.03</v>
      </c>
      <c r="K56" s="23">
        <v>0.04</v>
      </c>
      <c r="L56" s="23">
        <v>0.05</v>
      </c>
      <c r="M56" s="23">
        <v>7.0000000000000007E-2</v>
      </c>
      <c r="N56" s="23">
        <v>7.0000000000000007E-2</v>
      </c>
      <c r="O56" s="23">
        <v>0.08</v>
      </c>
      <c r="P56" s="23">
        <v>0.08</v>
      </c>
      <c r="Q56" s="23">
        <v>0.08</v>
      </c>
      <c r="R56" s="23">
        <v>0.08</v>
      </c>
      <c r="S56" s="23">
        <v>0.08</v>
      </c>
      <c r="T56" s="23">
        <v>0.08</v>
      </c>
      <c r="U56" s="23">
        <v>0.08</v>
      </c>
      <c r="V56" s="23">
        <v>0.05</v>
      </c>
      <c r="W56" s="23">
        <v>0.02</v>
      </c>
      <c r="X56" s="23">
        <v>0.01</v>
      </c>
      <c r="Y56" s="23">
        <v>0.01</v>
      </c>
      <c r="Z56" s="23"/>
      <c r="AA56" s="23"/>
    </row>
    <row r="57" spans="2:27" x14ac:dyDescent="0.3">
      <c r="B57" s="42">
        <f t="shared" si="6"/>
        <v>23</v>
      </c>
      <c r="C57" s="22"/>
      <c r="D57" s="23">
        <v>0.01</v>
      </c>
      <c r="E57" s="23">
        <v>0.01</v>
      </c>
      <c r="F57" s="23">
        <v>0.01</v>
      </c>
      <c r="G57" s="23">
        <v>0.01</v>
      </c>
      <c r="H57" s="23">
        <v>0.02</v>
      </c>
      <c r="I57" s="23">
        <v>0.02</v>
      </c>
      <c r="J57" s="23">
        <v>0.02</v>
      </c>
      <c r="K57" s="23">
        <v>0.03</v>
      </c>
      <c r="L57" s="23">
        <v>0.04</v>
      </c>
      <c r="M57" s="23">
        <v>0.06</v>
      </c>
      <c r="N57" s="23">
        <v>7.0000000000000007E-2</v>
      </c>
      <c r="O57" s="23">
        <v>7.0000000000000007E-2</v>
      </c>
      <c r="P57" s="23">
        <v>0.08</v>
      </c>
      <c r="Q57" s="23">
        <v>0.08</v>
      </c>
      <c r="R57" s="23">
        <v>0.08</v>
      </c>
      <c r="S57" s="23">
        <v>0.08</v>
      </c>
      <c r="T57" s="23">
        <v>0.08</v>
      </c>
      <c r="U57" s="23">
        <v>0.08</v>
      </c>
      <c r="V57" s="23">
        <v>0.06</v>
      </c>
      <c r="W57" s="23">
        <v>0.03</v>
      </c>
      <c r="X57" s="23">
        <v>0.03</v>
      </c>
      <c r="Y57" s="23">
        <v>0.02</v>
      </c>
      <c r="Z57" s="23">
        <v>0.01</v>
      </c>
      <c r="AA57" s="23"/>
    </row>
    <row r="58" spans="2:27" x14ac:dyDescent="0.3">
      <c r="B58" s="42">
        <f t="shared" si="6"/>
        <v>24</v>
      </c>
      <c r="C58" s="22"/>
      <c r="D58" s="23">
        <v>0.01</v>
      </c>
      <c r="E58" s="23">
        <v>0.01</v>
      </c>
      <c r="F58" s="23">
        <v>0.01</v>
      </c>
      <c r="G58" s="23">
        <v>0.01</v>
      </c>
      <c r="H58" s="23">
        <v>0.01</v>
      </c>
      <c r="I58" s="23">
        <v>0.02</v>
      </c>
      <c r="J58" s="23">
        <v>0.02</v>
      </c>
      <c r="K58" s="23">
        <v>0.02</v>
      </c>
      <c r="L58" s="23">
        <v>0.03</v>
      </c>
      <c r="M58" s="23">
        <v>0.05</v>
      </c>
      <c r="N58" s="23">
        <v>0.06</v>
      </c>
      <c r="O58" s="23">
        <v>7.0000000000000007E-2</v>
      </c>
      <c r="P58" s="23">
        <v>7.0000000000000007E-2</v>
      </c>
      <c r="Q58" s="23">
        <v>0.08</v>
      </c>
      <c r="R58" s="23">
        <v>0.08</v>
      </c>
      <c r="S58" s="23">
        <v>0.08</v>
      </c>
      <c r="T58" s="23">
        <v>0.08</v>
      </c>
      <c r="U58" s="23">
        <v>0.08</v>
      </c>
      <c r="V58" s="23">
        <v>0.08</v>
      </c>
      <c r="W58" s="23">
        <v>0.05</v>
      </c>
      <c r="X58" s="23">
        <v>0.03</v>
      </c>
      <c r="Y58" s="23">
        <v>0.02</v>
      </c>
      <c r="Z58" s="23">
        <v>0.02</v>
      </c>
      <c r="AA58" s="23">
        <v>0.01</v>
      </c>
    </row>
    <row r="60" spans="2:27" x14ac:dyDescent="0.3">
      <c r="C60" s="28"/>
    </row>
    <row r="61" spans="2:27" x14ac:dyDescent="0.3">
      <c r="C61" s="29"/>
    </row>
    <row r="65" s="27" customFormat="1" x14ac:dyDescent="0.3"/>
  </sheetData>
  <mergeCells count="2">
    <mergeCell ref="D32:AA32"/>
    <mergeCell ref="D34:AA3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Chapter 10 Figures</vt:lpstr>
      <vt:lpstr>Fig 10.1</vt:lpstr>
      <vt:lpstr>Fig 10.3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Linneman and Kirsch</dc:creator>
  <cp:lastModifiedBy>Bruce Kirsch</cp:lastModifiedBy>
  <dcterms:created xsi:type="dcterms:W3CDTF">2010-07-08T19:54:19Z</dcterms:created>
  <dcterms:modified xsi:type="dcterms:W3CDTF">2022-06-05T19:18:29Z</dcterms:modified>
  <cp:version>_v2</cp:version>
</cp:coreProperties>
</file>