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bruce\REFM Dropbox\Bruce Kirsch\0000000000 Edition 5.2\Online Companion Files\"/>
    </mc:Choice>
  </mc:AlternateContent>
  <xr:revisionPtr revIDLastSave="0" documentId="8_{CE2EE2B4-6D46-4A13-8BA6-9F081462DC96}" xr6:coauthVersionLast="47" xr6:coauthVersionMax="47" xr10:uidLastSave="{00000000-0000-0000-0000-000000000000}"/>
  <bookViews>
    <workbookView xWindow="4140" yWindow="4140" windowWidth="28800" windowHeight="15410" xr2:uid="{00000000-000D-0000-FFFF-FFFF00000000}"/>
  </bookViews>
  <sheets>
    <sheet name="Prereq III Figures" sheetId="30" r:id="rId1"/>
    <sheet name="Fig PIII.1" sheetId="1" r:id="rId2"/>
    <sheet name="Fig PIII.2, .4 &amp; .10 bottom" sheetId="2" r:id="rId3"/>
    <sheet name="Fig PIII.3 and PIII.11 left" sheetId="3" r:id="rId4"/>
    <sheet name="Fig PIII.5" sheetId="5" r:id="rId5"/>
    <sheet name="Fig PIII.6" sheetId="6" r:id="rId6"/>
    <sheet name="Fig PIII.7-8" sheetId="19" r:id="rId7"/>
    <sheet name="Fig PIII.9" sheetId="9" r:id="rId8"/>
    <sheet name="Fig PIII.10 top" sheetId="25" r:id="rId9"/>
    <sheet name="Fig PIII.11 right" sheetId="29" r:id="rId10"/>
    <sheet name="Fig PIII.12" sheetId="27" r:id="rId11"/>
    <sheet name="Fig PIII.13" sheetId="16" r:id="rId12"/>
    <sheet name="Fig PIII.14" sheetId="22" r:id="rId13"/>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9" l="1"/>
  <c r="D14" i="9" s="1"/>
  <c r="E14" i="9" s="1"/>
  <c r="C15" i="9" l="1"/>
  <c r="D15" i="9" s="1"/>
  <c r="E15" i="9" s="1"/>
  <c r="C54" i="30"/>
  <c r="E77" i="22"/>
  <c r="E10" i="3"/>
  <c r="E4" i="3"/>
  <c r="J5" i="3"/>
  <c r="E63" i="3"/>
  <c r="E20" i="3"/>
  <c r="E21" i="3"/>
  <c r="J3" i="3"/>
  <c r="C32" i="3"/>
  <c r="D32" i="3"/>
  <c r="E32" i="3"/>
  <c r="F32" i="3"/>
  <c r="G32" i="3"/>
  <c r="H32" i="3"/>
  <c r="I32" i="3"/>
  <c r="J50" i="29"/>
  <c r="J52" i="29" s="1"/>
  <c r="I50" i="29"/>
  <c r="I52" i="29" s="1"/>
  <c r="H50" i="29"/>
  <c r="H52" i="29" s="1"/>
  <c r="G50" i="29"/>
  <c r="F50" i="29"/>
  <c r="F52" i="29" s="1"/>
  <c r="F54" i="29" s="1"/>
  <c r="F56" i="29" s="1"/>
  <c r="F57" i="29" s="1"/>
  <c r="F58" i="29" s="1"/>
  <c r="E50" i="29"/>
  <c r="D50" i="29"/>
  <c r="D52" i="29" s="1"/>
  <c r="F21" i="29"/>
  <c r="B21" i="29"/>
  <c r="F20" i="29"/>
  <c r="B20" i="29"/>
  <c r="F19" i="29"/>
  <c r="B19" i="29"/>
  <c r="F18" i="29"/>
  <c r="B18" i="29"/>
  <c r="F17" i="29"/>
  <c r="B17" i="29"/>
  <c r="F16" i="29"/>
  <c r="E32" i="29"/>
  <c r="F32" i="29"/>
  <c r="G32" i="29"/>
  <c r="H32" i="29"/>
  <c r="I32" i="29"/>
  <c r="J32" i="29"/>
  <c r="K32" i="29"/>
  <c r="B16" i="29"/>
  <c r="F15" i="29"/>
  <c r="B15" i="29"/>
  <c r="F14" i="29"/>
  <c r="B14" i="29"/>
  <c r="F13" i="29"/>
  <c r="D26" i="29"/>
  <c r="D28" i="29"/>
  <c r="B13" i="29"/>
  <c r="F11" i="29"/>
  <c r="B11" i="29"/>
  <c r="J10" i="29"/>
  <c r="H10" i="29"/>
  <c r="F10" i="29"/>
  <c r="B10" i="29"/>
  <c r="B9" i="29"/>
  <c r="J8" i="29"/>
  <c r="H8" i="29"/>
  <c r="B8" i="29"/>
  <c r="H7" i="29"/>
  <c r="F7" i="29"/>
  <c r="B7" i="29"/>
  <c r="J6" i="29"/>
  <c r="H6" i="29"/>
  <c r="H5" i="29"/>
  <c r="B5" i="29"/>
  <c r="J4" i="29"/>
  <c r="H4" i="29"/>
  <c r="F4" i="29"/>
  <c r="B4" i="29"/>
  <c r="J3" i="29"/>
  <c r="H3" i="29"/>
  <c r="F3" i="29"/>
  <c r="B3" i="29"/>
  <c r="B2" i="29"/>
  <c r="E8" i="3"/>
  <c r="E26" i="29"/>
  <c r="F9" i="29"/>
  <c r="E45" i="29"/>
  <c r="G45" i="29"/>
  <c r="O21" i="22"/>
  <c r="O20" i="22"/>
  <c r="N20" i="22"/>
  <c r="I45" i="29"/>
  <c r="D45" i="29"/>
  <c r="F45" i="29"/>
  <c r="J45" i="29"/>
  <c r="B27" i="27"/>
  <c r="C37" i="27"/>
  <c r="D31" i="27"/>
  <c r="D33" i="27"/>
  <c r="E9" i="27"/>
  <c r="I7" i="27"/>
  <c r="E5" i="27"/>
  <c r="J4" i="25"/>
  <c r="J50" i="25"/>
  <c r="J52" i="25" s="1"/>
  <c r="I50" i="25"/>
  <c r="H50" i="25"/>
  <c r="H52" i="25" s="1"/>
  <c r="G50" i="25"/>
  <c r="F50" i="25"/>
  <c r="E50" i="25"/>
  <c r="E52" i="25" s="1"/>
  <c r="D50" i="25"/>
  <c r="F21" i="25"/>
  <c r="B21" i="25"/>
  <c r="F20" i="25"/>
  <c r="B20" i="25"/>
  <c r="F19" i="25"/>
  <c r="D34" i="25"/>
  <c r="D49" i="25"/>
  <c r="B19" i="25"/>
  <c r="F18" i="25"/>
  <c r="B18" i="25"/>
  <c r="F17" i="25"/>
  <c r="B17" i="25"/>
  <c r="F16" i="25"/>
  <c r="E32" i="25"/>
  <c r="F32" i="25"/>
  <c r="G32" i="25"/>
  <c r="H32" i="25"/>
  <c r="I32" i="25"/>
  <c r="J32" i="25"/>
  <c r="K32" i="25"/>
  <c r="B16" i="25"/>
  <c r="F15" i="25"/>
  <c r="B15" i="25"/>
  <c r="F14" i="25"/>
  <c r="E26" i="25"/>
  <c r="B14" i="25"/>
  <c r="F13" i="25"/>
  <c r="D26" i="25"/>
  <c r="D28" i="25"/>
  <c r="B13" i="25"/>
  <c r="F11" i="25"/>
  <c r="B11" i="25"/>
  <c r="J10" i="25"/>
  <c r="H10" i="25"/>
  <c r="F10" i="25"/>
  <c r="B10" i="25"/>
  <c r="B9" i="25"/>
  <c r="J8" i="25"/>
  <c r="H8" i="25"/>
  <c r="B8" i="25"/>
  <c r="H7" i="25"/>
  <c r="F7" i="25"/>
  <c r="F9" i="25"/>
  <c r="B7" i="25"/>
  <c r="J6" i="25"/>
  <c r="H6" i="25"/>
  <c r="H5" i="25"/>
  <c r="B5" i="25"/>
  <c r="H4" i="25"/>
  <c r="F4" i="25"/>
  <c r="B4" i="25"/>
  <c r="J3" i="25"/>
  <c r="H3" i="25"/>
  <c r="F3" i="25"/>
  <c r="B3" i="25"/>
  <c r="B2" i="25"/>
  <c r="B27" i="19"/>
  <c r="J45" i="19"/>
  <c r="K45" i="19"/>
  <c r="J51" i="19"/>
  <c r="C29" i="27"/>
  <c r="C31" i="27"/>
  <c r="C33" i="27"/>
  <c r="D29" i="27"/>
  <c r="D37" i="27"/>
  <c r="E31" i="27"/>
  <c r="E33" i="27"/>
  <c r="J10" i="3"/>
  <c r="G10" i="3"/>
  <c r="J10" i="2"/>
  <c r="B72" i="2"/>
  <c r="H10" i="2"/>
  <c r="C26" i="3"/>
  <c r="D26" i="3"/>
  <c r="E26" i="3"/>
  <c r="F26" i="3"/>
  <c r="G26" i="3"/>
  <c r="H26" i="3"/>
  <c r="I26" i="3"/>
  <c r="J29" i="1"/>
  <c r="N19" i="22"/>
  <c r="N15" i="22"/>
  <c r="N21" i="22"/>
  <c r="J16" i="22"/>
  <c r="K16" i="22"/>
  <c r="L16" i="22"/>
  <c r="M16" i="22"/>
  <c r="N16" i="22"/>
  <c r="O16" i="22"/>
  <c r="J17" i="22"/>
  <c r="K17" i="22"/>
  <c r="L17" i="22"/>
  <c r="M17" i="22"/>
  <c r="N17" i="22"/>
  <c r="O17" i="22"/>
  <c r="O24" i="22"/>
  <c r="P24" i="22"/>
  <c r="O25" i="22"/>
  <c r="P25" i="22"/>
  <c r="G7" i="22"/>
  <c r="E31" i="22"/>
  <c r="C32" i="22"/>
  <c r="C33" i="22"/>
  <c r="C34" i="22"/>
  <c r="F36" i="22"/>
  <c r="J36" i="22"/>
  <c r="N36" i="22"/>
  <c r="F37" i="22"/>
  <c r="G37" i="22"/>
  <c r="H37" i="22"/>
  <c r="I37" i="22"/>
  <c r="J37" i="22"/>
  <c r="K37" i="22"/>
  <c r="L37" i="22"/>
  <c r="M37" i="22"/>
  <c r="N37" i="22"/>
  <c r="O37" i="22"/>
  <c r="P37" i="22"/>
  <c r="C39" i="22"/>
  <c r="C40" i="22"/>
  <c r="N40" i="22"/>
  <c r="O40" i="22"/>
  <c r="P40" i="22"/>
  <c r="C41" i="22"/>
  <c r="N41" i="22"/>
  <c r="O41" i="22"/>
  <c r="P41" i="22"/>
  <c r="C42" i="22"/>
  <c r="F42" i="22"/>
  <c r="G42" i="22"/>
  <c r="H42" i="22"/>
  <c r="I42" i="22"/>
  <c r="J42" i="22"/>
  <c r="K42" i="22"/>
  <c r="L42" i="22"/>
  <c r="M42" i="22"/>
  <c r="N42" i="22"/>
  <c r="O42" i="22"/>
  <c r="P42" i="22"/>
  <c r="C43" i="22"/>
  <c r="F43" i="22"/>
  <c r="G43" i="22"/>
  <c r="H43" i="22"/>
  <c r="I43" i="22"/>
  <c r="J43" i="22"/>
  <c r="K43" i="22"/>
  <c r="L43" i="22"/>
  <c r="M43" i="22"/>
  <c r="N43" i="22"/>
  <c r="O43" i="22"/>
  <c r="P43" i="22"/>
  <c r="C44" i="22"/>
  <c r="F44" i="22"/>
  <c r="G44" i="22"/>
  <c r="H44" i="22"/>
  <c r="I44" i="22"/>
  <c r="J44" i="22"/>
  <c r="K44" i="22"/>
  <c r="L44" i="22"/>
  <c r="M44" i="22"/>
  <c r="C45" i="22"/>
  <c r="F45" i="22"/>
  <c r="G45" i="22"/>
  <c r="H45" i="22"/>
  <c r="I45" i="22"/>
  <c r="J45" i="22"/>
  <c r="K45" i="22"/>
  <c r="L45" i="22"/>
  <c r="M45" i="22"/>
  <c r="C46" i="22"/>
  <c r="C47" i="22"/>
  <c r="F47" i="22"/>
  <c r="G47" i="22"/>
  <c r="H47" i="22"/>
  <c r="I47" i="22"/>
  <c r="J47" i="22"/>
  <c r="K47" i="22"/>
  <c r="L47" i="22"/>
  <c r="M47" i="22"/>
  <c r="N47" i="22"/>
  <c r="O47" i="22"/>
  <c r="P47" i="22"/>
  <c r="C48" i="22"/>
  <c r="C49" i="22"/>
  <c r="C50" i="22"/>
  <c r="C51" i="22"/>
  <c r="C54" i="22"/>
  <c r="F54" i="22"/>
  <c r="G54" i="22"/>
  <c r="H54" i="22"/>
  <c r="I54" i="22"/>
  <c r="J54" i="22"/>
  <c r="K54" i="22"/>
  <c r="L54" i="22"/>
  <c r="M54" i="22"/>
  <c r="N54" i="22"/>
  <c r="O54" i="22"/>
  <c r="P54" i="22"/>
  <c r="C55" i="22"/>
  <c r="C56" i="22"/>
  <c r="B38" i="22"/>
  <c r="B53" i="22"/>
  <c r="B58" i="22"/>
  <c r="B31" i="22"/>
  <c r="I25" i="22"/>
  <c r="I24" i="22"/>
  <c r="I17" i="22"/>
  <c r="I16" i="22"/>
  <c r="E12" i="22"/>
  <c r="E11" i="22"/>
  <c r="E10" i="22"/>
  <c r="E8" i="22"/>
  <c r="E6" i="22"/>
  <c r="E5" i="22"/>
  <c r="E4" i="22"/>
  <c r="E3" i="22"/>
  <c r="I25" i="16"/>
  <c r="J25" i="22"/>
  <c r="I24" i="16"/>
  <c r="J24" i="22"/>
  <c r="J24" i="16"/>
  <c r="K24" i="16"/>
  <c r="D7" i="16"/>
  <c r="E7" i="22"/>
  <c r="D31" i="16"/>
  <c r="M46" i="22"/>
  <c r="L46" i="22"/>
  <c r="K46" i="22"/>
  <c r="J46" i="22"/>
  <c r="I46" i="22"/>
  <c r="H46" i="22"/>
  <c r="G46" i="22"/>
  <c r="F46" i="22"/>
  <c r="I51" i="19"/>
  <c r="H51" i="19"/>
  <c r="G51" i="19"/>
  <c r="F51" i="19"/>
  <c r="E51" i="19"/>
  <c r="D51" i="19"/>
  <c r="C51" i="19"/>
  <c r="B46" i="19"/>
  <c r="C54" i="19"/>
  <c r="D54" i="19"/>
  <c r="D48" i="19"/>
  <c r="E9" i="19"/>
  <c r="I7" i="19"/>
  <c r="E5" i="19"/>
  <c r="L7" i="6"/>
  <c r="D5" i="1"/>
  <c r="E5" i="3"/>
  <c r="B21" i="3"/>
  <c r="B21" i="2"/>
  <c r="F21" i="2"/>
  <c r="B40" i="3"/>
  <c r="B39" i="3"/>
  <c r="B38" i="3"/>
  <c r="C36" i="3"/>
  <c r="B36" i="3"/>
  <c r="B35" i="3"/>
  <c r="B34" i="3"/>
  <c r="B33" i="3"/>
  <c r="B32" i="3"/>
  <c r="B31" i="3"/>
  <c r="B30" i="3"/>
  <c r="B28" i="3"/>
  <c r="B27" i="3"/>
  <c r="B25" i="3"/>
  <c r="J23" i="3"/>
  <c r="I23" i="3"/>
  <c r="H23" i="3"/>
  <c r="G23" i="3"/>
  <c r="F23" i="3"/>
  <c r="E23" i="3"/>
  <c r="D23" i="3"/>
  <c r="C23" i="3"/>
  <c r="E3" i="3"/>
  <c r="G3" i="3"/>
  <c r="G5" i="3"/>
  <c r="G4" i="3"/>
  <c r="J4" i="3"/>
  <c r="G6" i="3"/>
  <c r="J6" i="3"/>
  <c r="E7" i="3"/>
  <c r="G7" i="3"/>
  <c r="G8" i="3"/>
  <c r="J8" i="3"/>
  <c r="E11" i="3"/>
  <c r="E13" i="3"/>
  <c r="E14" i="3"/>
  <c r="E15" i="3"/>
  <c r="E16" i="3"/>
  <c r="E17" i="3"/>
  <c r="E18" i="3"/>
  <c r="E19" i="3"/>
  <c r="B4" i="3"/>
  <c r="B5" i="3"/>
  <c r="B7" i="3"/>
  <c r="B8" i="3"/>
  <c r="B9" i="3"/>
  <c r="B10" i="3"/>
  <c r="B11" i="3"/>
  <c r="B13" i="3"/>
  <c r="B14" i="3"/>
  <c r="B15" i="3"/>
  <c r="B16" i="3"/>
  <c r="B17" i="3"/>
  <c r="B18" i="3"/>
  <c r="B19" i="3"/>
  <c r="B20" i="3"/>
  <c r="B3" i="3"/>
  <c r="B11" i="2"/>
  <c r="F11" i="2"/>
  <c r="B19" i="2"/>
  <c r="F19" i="2"/>
  <c r="B20" i="2"/>
  <c r="F20" i="2"/>
  <c r="F8" i="2"/>
  <c r="J5" i="2"/>
  <c r="J4" i="2"/>
  <c r="J6" i="2"/>
  <c r="J8" i="2"/>
  <c r="J3" i="2"/>
  <c r="F18" i="2"/>
  <c r="B18" i="2"/>
  <c r="F17" i="2"/>
  <c r="B17" i="2"/>
  <c r="F16" i="2"/>
  <c r="E32" i="2"/>
  <c r="F32" i="2"/>
  <c r="G32" i="2"/>
  <c r="H32" i="2"/>
  <c r="I32" i="2"/>
  <c r="J32" i="2"/>
  <c r="K32" i="2"/>
  <c r="B16" i="2"/>
  <c r="F15" i="2"/>
  <c r="B15" i="2"/>
  <c r="F14" i="2"/>
  <c r="B14" i="2"/>
  <c r="F13" i="2"/>
  <c r="D26" i="2"/>
  <c r="B13" i="2"/>
  <c r="F10" i="2"/>
  <c r="B10" i="2"/>
  <c r="B9" i="2"/>
  <c r="H8" i="2"/>
  <c r="B8" i="2"/>
  <c r="H7" i="2"/>
  <c r="F7" i="2"/>
  <c r="B7" i="2"/>
  <c r="H6" i="2"/>
  <c r="H4" i="2"/>
  <c r="F5" i="2"/>
  <c r="C66" i="2"/>
  <c r="C69" i="2"/>
  <c r="B5" i="2"/>
  <c r="H5" i="2"/>
  <c r="F4" i="2"/>
  <c r="B4" i="2"/>
  <c r="H3" i="2"/>
  <c r="F3" i="2"/>
  <c r="B3" i="2"/>
  <c r="B2" i="2"/>
  <c r="D9" i="1"/>
  <c r="F28" i="1"/>
  <c r="C8" i="6"/>
  <c r="N7" i="6"/>
  <c r="M7" i="6"/>
  <c r="K7" i="6"/>
  <c r="J7" i="6"/>
  <c r="I7" i="6"/>
  <c r="H7" i="6"/>
  <c r="G7" i="6"/>
  <c r="F7" i="6"/>
  <c r="E7" i="6"/>
  <c r="C27" i="1"/>
  <c r="I7" i="1"/>
  <c r="B15" i="9"/>
  <c r="B16" i="9" s="1"/>
  <c r="B17" i="9" s="1"/>
  <c r="B18" i="9" s="1"/>
  <c r="B19" i="9" s="1"/>
  <c r="B20" i="9" s="1"/>
  <c r="M8" i="6"/>
  <c r="K8" i="6"/>
  <c r="J8" i="6"/>
  <c r="J7" i="3"/>
  <c r="J7" i="29"/>
  <c r="J7" i="25"/>
  <c r="J5" i="29"/>
  <c r="J5" i="25"/>
  <c r="K24" i="22"/>
  <c r="F5" i="29"/>
  <c r="F5" i="25"/>
  <c r="E5" i="16"/>
  <c r="E6" i="16"/>
  <c r="F5" i="22"/>
  <c r="C50" i="19"/>
  <c r="C48" i="19"/>
  <c r="J25" i="16"/>
  <c r="K25" i="16"/>
  <c r="L25" i="16"/>
  <c r="M25" i="22"/>
  <c r="M25" i="16"/>
  <c r="D25" i="16"/>
  <c r="I48" i="22"/>
  <c r="L25" i="22"/>
  <c r="E32" i="22"/>
  <c r="D32" i="16"/>
  <c r="E33" i="22"/>
  <c r="E33" i="3"/>
  <c r="J7" i="2"/>
  <c r="G48" i="2"/>
  <c r="F30" i="3"/>
  <c r="C33" i="3"/>
  <c r="H33" i="3"/>
  <c r="D33" i="3"/>
  <c r="G48" i="22"/>
  <c r="O44" i="22"/>
  <c r="C52" i="19"/>
  <c r="I28" i="1"/>
  <c r="D28" i="1"/>
  <c r="E28" i="1"/>
  <c r="G28" i="1"/>
  <c r="H28" i="1"/>
  <c r="J28" i="1"/>
  <c r="F9" i="2"/>
  <c r="E9" i="3"/>
  <c r="F8" i="6"/>
  <c r="G8" i="6"/>
  <c r="C9" i="6"/>
  <c r="N8" i="6"/>
  <c r="L8" i="6"/>
  <c r="E8" i="6"/>
  <c r="H8" i="6"/>
  <c r="I8" i="6"/>
  <c r="G33" i="3"/>
  <c r="D50" i="19"/>
  <c r="D52" i="19"/>
  <c r="F33" i="3"/>
  <c r="I33" i="3"/>
  <c r="K25" i="22"/>
  <c r="E54" i="19"/>
  <c r="F50" i="19"/>
  <c r="F48" i="19"/>
  <c r="O49" i="22"/>
  <c r="J48" i="29"/>
  <c r="F48" i="29"/>
  <c r="G48" i="29"/>
  <c r="F49" i="22"/>
  <c r="K49" i="22"/>
  <c r="P49" i="22"/>
  <c r="M49" i="22"/>
  <c r="H49" i="22"/>
  <c r="P45" i="22"/>
  <c r="F40" i="16"/>
  <c r="G41" i="22"/>
  <c r="I49" i="22"/>
  <c r="L40" i="16"/>
  <c r="M41" i="22"/>
  <c r="L49" i="22"/>
  <c r="J49" i="22"/>
  <c r="I40" i="16"/>
  <c r="J41" i="22"/>
  <c r="I50" i="22"/>
  <c r="D33" i="16"/>
  <c r="E58" i="22"/>
  <c r="E67" i="22" s="1"/>
  <c r="H48" i="2"/>
  <c r="G30" i="3"/>
  <c r="J48" i="2"/>
  <c r="I30" i="3"/>
  <c r="I48" i="2"/>
  <c r="H30" i="3"/>
  <c r="F48" i="2"/>
  <c r="E30" i="3"/>
  <c r="D48" i="2"/>
  <c r="C30" i="3"/>
  <c r="E48" i="2"/>
  <c r="D30" i="3"/>
  <c r="I9" i="6"/>
  <c r="F9" i="6"/>
  <c r="M9" i="6"/>
  <c r="G9" i="6"/>
  <c r="C10" i="6"/>
  <c r="E9" i="6"/>
  <c r="N9" i="6"/>
  <c r="J9" i="6"/>
  <c r="L9" i="6"/>
  <c r="H9" i="6"/>
  <c r="K9" i="6"/>
  <c r="E27" i="3"/>
  <c r="K48" i="22"/>
  <c r="P44" i="22"/>
  <c r="P46" i="22"/>
  <c r="P48" i="22"/>
  <c r="P50" i="22"/>
  <c r="J48" i="22"/>
  <c r="H48" i="22"/>
  <c r="F51" i="22"/>
  <c r="F48" i="22"/>
  <c r="L48" i="22"/>
  <c r="M48" i="22"/>
  <c r="F52" i="19"/>
  <c r="F54" i="19"/>
  <c r="O45" i="22"/>
  <c r="O46" i="22"/>
  <c r="K50" i="22"/>
  <c r="G49" i="22"/>
  <c r="E34" i="22"/>
  <c r="G7" i="16"/>
  <c r="H7" i="22"/>
  <c r="K51" i="22"/>
  <c r="J50" i="22"/>
  <c r="P51" i="22"/>
  <c r="N10" i="6"/>
  <c r="J10" i="6"/>
  <c r="K10" i="6"/>
  <c r="M10" i="6"/>
  <c r="L50" i="22"/>
  <c r="F50" i="22"/>
  <c r="M50" i="22"/>
  <c r="H50" i="22"/>
  <c r="G50" i="22"/>
  <c r="H51" i="22"/>
  <c r="F55" i="22"/>
  <c r="K55" i="22"/>
  <c r="L51" i="22"/>
  <c r="P56" i="22"/>
  <c r="G51" i="22"/>
  <c r="P55" i="22"/>
  <c r="M55" i="22"/>
  <c r="K58" i="22"/>
  <c r="K67" i="22" s="1"/>
  <c r="M56" i="22"/>
  <c r="P58" i="22"/>
  <c r="K56" i="22"/>
  <c r="G48" i="19"/>
  <c r="G50" i="19"/>
  <c r="G52" i="19"/>
  <c r="G54" i="19"/>
  <c r="F26" i="29"/>
  <c r="E28" i="29"/>
  <c r="L56" i="22"/>
  <c r="L55" i="22"/>
  <c r="I27" i="3"/>
  <c r="H27" i="3"/>
  <c r="F27" i="3"/>
  <c r="G27" i="3"/>
  <c r="D27" i="3"/>
  <c r="C27" i="3"/>
  <c r="D28" i="2"/>
  <c r="E26" i="2"/>
  <c r="H45" i="25"/>
  <c r="I45" i="25"/>
  <c r="J45" i="25"/>
  <c r="D45" i="25"/>
  <c r="F45" i="25"/>
  <c r="G45" i="25"/>
  <c r="I48" i="25"/>
  <c r="E48" i="25"/>
  <c r="G48" i="25"/>
  <c r="F48" i="25"/>
  <c r="D48" i="25"/>
  <c r="H48" i="25"/>
  <c r="F26" i="25"/>
  <c r="E28" i="25"/>
  <c r="M58" i="22"/>
  <c r="M67" i="22" s="1"/>
  <c r="H55" i="22"/>
  <c r="J51" i="22"/>
  <c r="E45" i="25"/>
  <c r="J48" i="25"/>
  <c r="M51" i="22"/>
  <c r="N25" i="22"/>
  <c r="I51" i="22"/>
  <c r="E10" i="6"/>
  <c r="F10" i="6"/>
  <c r="I10" i="6"/>
  <c r="L10" i="6"/>
  <c r="G10" i="6"/>
  <c r="E25" i="22"/>
  <c r="J40" i="16"/>
  <c r="K41" i="22"/>
  <c r="N49" i="22"/>
  <c r="K40" i="16"/>
  <c r="L41" i="22"/>
  <c r="E40" i="16"/>
  <c r="F41" i="22"/>
  <c r="G40" i="16"/>
  <c r="H41" i="22"/>
  <c r="H40" i="16"/>
  <c r="I41" i="22"/>
  <c r="N45" i="22"/>
  <c r="E48" i="19"/>
  <c r="E50" i="19"/>
  <c r="E52" i="19"/>
  <c r="C11" i="6"/>
  <c r="H10" i="6"/>
  <c r="D48" i="29"/>
  <c r="H48" i="29"/>
  <c r="I48" i="29"/>
  <c r="E48" i="29"/>
  <c r="L45" i="19"/>
  <c r="K51" i="19"/>
  <c r="D33" i="25"/>
  <c r="E33" i="25"/>
  <c r="F33" i="25"/>
  <c r="G33" i="25"/>
  <c r="H33" i="25"/>
  <c r="I33" i="25"/>
  <c r="J33" i="25"/>
  <c r="K33" i="25"/>
  <c r="D29" i="25"/>
  <c r="D30" i="25"/>
  <c r="D36" i="25"/>
  <c r="D43" i="25"/>
  <c r="D46" i="25"/>
  <c r="D34" i="29"/>
  <c r="D49" i="29"/>
  <c r="D33" i="29"/>
  <c r="E33" i="29"/>
  <c r="F33" i="29"/>
  <c r="G33" i="29"/>
  <c r="H33" i="29"/>
  <c r="I33" i="29"/>
  <c r="J33" i="29"/>
  <c r="K33" i="29"/>
  <c r="D29" i="29"/>
  <c r="D30" i="29"/>
  <c r="D36" i="29"/>
  <c r="D43" i="29"/>
  <c r="D46" i="29"/>
  <c r="E65" i="3"/>
  <c r="E71" i="3"/>
  <c r="E37" i="27"/>
  <c r="E29" i="27"/>
  <c r="L24" i="16"/>
  <c r="L24" i="22"/>
  <c r="H45" i="29"/>
  <c r="E34" i="25"/>
  <c r="E49" i="25"/>
  <c r="D52" i="25"/>
  <c r="D53" i="25" s="1"/>
  <c r="D34" i="2"/>
  <c r="D49" i="2"/>
  <c r="C31" i="3"/>
  <c r="D33" i="2"/>
  <c r="E33" i="2"/>
  <c r="F33" i="2"/>
  <c r="G33" i="2"/>
  <c r="H33" i="2"/>
  <c r="I33" i="2"/>
  <c r="J33" i="2"/>
  <c r="K33" i="2"/>
  <c r="D30" i="2"/>
  <c r="D36" i="2"/>
  <c r="D43" i="2"/>
  <c r="F56" i="22"/>
  <c r="F58" i="22"/>
  <c r="F67" i="22" s="1"/>
  <c r="D29" i="2"/>
  <c r="E34" i="29"/>
  <c r="E49" i="29"/>
  <c r="E29" i="29"/>
  <c r="E30" i="29"/>
  <c r="E36" i="29"/>
  <c r="E43" i="29"/>
  <c r="E46" i="29"/>
  <c r="G55" i="22"/>
  <c r="I55" i="22"/>
  <c r="G26" i="25"/>
  <c r="F28" i="25"/>
  <c r="E76" i="3"/>
  <c r="M45" i="19"/>
  <c r="L51" i="19"/>
  <c r="C12" i="6"/>
  <c r="M11" i="6"/>
  <c r="E11" i="6"/>
  <c r="I11" i="6"/>
  <c r="F11" i="6"/>
  <c r="L11" i="6"/>
  <c r="K11" i="6"/>
  <c r="G11" i="6"/>
  <c r="H11" i="6"/>
  <c r="N11" i="6"/>
  <c r="J11" i="6"/>
  <c r="L58" i="22"/>
  <c r="L67" i="22" s="1"/>
  <c r="G26" i="29"/>
  <c r="F28" i="29"/>
  <c r="H56" i="22"/>
  <c r="H58" i="22"/>
  <c r="H67" i="22" s="1"/>
  <c r="M24" i="16"/>
  <c r="N24" i="22"/>
  <c r="M24" i="22"/>
  <c r="F29" i="27"/>
  <c r="F37" i="27"/>
  <c r="F31" i="27"/>
  <c r="F33" i="27"/>
  <c r="D24" i="16"/>
  <c r="J55" i="22"/>
  <c r="E29" i="25"/>
  <c r="E30" i="25"/>
  <c r="E36" i="25"/>
  <c r="E43" i="25"/>
  <c r="E46" i="25"/>
  <c r="F26" i="2"/>
  <c r="E28" i="2"/>
  <c r="H50" i="19"/>
  <c r="H52" i="19"/>
  <c r="H48" i="19"/>
  <c r="H54" i="19"/>
  <c r="E52" i="29"/>
  <c r="E54" i="29" s="1"/>
  <c r="E56" i="29" s="1"/>
  <c r="E57" i="29" s="1"/>
  <c r="E58" i="29" s="1"/>
  <c r="F34" i="25"/>
  <c r="F49" i="25"/>
  <c r="F29" i="25"/>
  <c r="F30" i="25"/>
  <c r="F36" i="25"/>
  <c r="F43" i="25"/>
  <c r="F46" i="25"/>
  <c r="N45" i="19"/>
  <c r="M51" i="19"/>
  <c r="H26" i="25"/>
  <c r="G28" i="25"/>
  <c r="I48" i="19"/>
  <c r="I54" i="19"/>
  <c r="I50" i="19"/>
  <c r="I52" i="19"/>
  <c r="G26" i="2"/>
  <c r="F28" i="2"/>
  <c r="J56" i="22"/>
  <c r="J58" i="22"/>
  <c r="J67" i="22" s="1"/>
  <c r="G37" i="27"/>
  <c r="G29" i="27"/>
  <c r="G31" i="27"/>
  <c r="G33" i="27"/>
  <c r="I56" i="22"/>
  <c r="I58" i="22"/>
  <c r="I67" i="22" s="1"/>
  <c r="E24" i="22"/>
  <c r="J39" i="16"/>
  <c r="K40" i="22"/>
  <c r="G39" i="16"/>
  <c r="H40" i="22"/>
  <c r="K39" i="16"/>
  <c r="L40" i="22"/>
  <c r="H39" i="16"/>
  <c r="I40" i="22"/>
  <c r="E39" i="16"/>
  <c r="F40" i="22"/>
  <c r="L39" i="16"/>
  <c r="M40" i="22"/>
  <c r="I39" i="16"/>
  <c r="J40" i="22"/>
  <c r="F39" i="16"/>
  <c r="G40" i="22"/>
  <c r="F29" i="29"/>
  <c r="F30" i="29"/>
  <c r="F36" i="29"/>
  <c r="F43" i="29"/>
  <c r="F46" i="29"/>
  <c r="F34" i="29"/>
  <c r="F49" i="29"/>
  <c r="G56" i="22"/>
  <c r="G58" i="22"/>
  <c r="G67" i="22" s="1"/>
  <c r="D46" i="2"/>
  <c r="C25" i="3"/>
  <c r="E30" i="2"/>
  <c r="E34" i="2"/>
  <c r="E49" i="2"/>
  <c r="D31" i="3"/>
  <c r="E29" i="2"/>
  <c r="G28" i="29"/>
  <c r="H26" i="29"/>
  <c r="F12" i="6"/>
  <c r="C13" i="6"/>
  <c r="H12" i="6"/>
  <c r="M12" i="6"/>
  <c r="I12" i="6"/>
  <c r="G12" i="6"/>
  <c r="N12" i="6"/>
  <c r="E12" i="6"/>
  <c r="J12" i="6"/>
  <c r="K12" i="6"/>
  <c r="L12" i="6"/>
  <c r="F52" i="25"/>
  <c r="J13" i="6"/>
  <c r="L13" i="6"/>
  <c r="F13" i="6"/>
  <c r="G13" i="6"/>
  <c r="H13" i="6"/>
  <c r="E13" i="6"/>
  <c r="C14" i="6"/>
  <c r="I13" i="6"/>
  <c r="M13" i="6"/>
  <c r="K13" i="6"/>
  <c r="N13" i="6"/>
  <c r="E36" i="2"/>
  <c r="E43" i="2"/>
  <c r="J48" i="19"/>
  <c r="J50" i="19"/>
  <c r="J52" i="19"/>
  <c r="J54" i="19"/>
  <c r="O45" i="19"/>
  <c r="N51" i="19"/>
  <c r="G29" i="29"/>
  <c r="G34" i="29"/>
  <c r="G49" i="29"/>
  <c r="G30" i="29"/>
  <c r="G36" i="29"/>
  <c r="G43" i="29"/>
  <c r="G46" i="29"/>
  <c r="N48" i="22"/>
  <c r="F34" i="2"/>
  <c r="F49" i="2"/>
  <c r="E31" i="3"/>
  <c r="F29" i="2"/>
  <c r="F30" i="2"/>
  <c r="F36" i="2"/>
  <c r="F43" i="2"/>
  <c r="G34" i="25"/>
  <c r="G49" i="25"/>
  <c r="G29" i="25"/>
  <c r="G30" i="25"/>
  <c r="G36" i="25"/>
  <c r="G43" i="25"/>
  <c r="G46" i="25"/>
  <c r="I26" i="29"/>
  <c r="H28" i="29"/>
  <c r="D52" i="2"/>
  <c r="D56" i="2" s="1"/>
  <c r="D57" i="2" s="1"/>
  <c r="C28" i="3"/>
  <c r="O48" i="22"/>
  <c r="N46" i="22"/>
  <c r="N44" i="22"/>
  <c r="H29" i="27"/>
  <c r="H31" i="27"/>
  <c r="H33" i="27"/>
  <c r="H37" i="27"/>
  <c r="H26" i="2"/>
  <c r="G28" i="2"/>
  <c r="I26" i="25"/>
  <c r="H28" i="25"/>
  <c r="G52" i="25"/>
  <c r="F46" i="2"/>
  <c r="F52" i="2" s="1"/>
  <c r="E34" i="3" s="1"/>
  <c r="E25" i="3"/>
  <c r="J26" i="25"/>
  <c r="I28" i="25"/>
  <c r="N50" i="22"/>
  <c r="P45" i="19"/>
  <c r="O51" i="19"/>
  <c r="G52" i="29"/>
  <c r="K50" i="19"/>
  <c r="K52" i="19"/>
  <c r="K54" i="19"/>
  <c r="K48" i="19"/>
  <c r="E14" i="6"/>
  <c r="H14" i="6"/>
  <c r="J14" i="6"/>
  <c r="L14" i="6"/>
  <c r="I14" i="6"/>
  <c r="C15" i="6"/>
  <c r="M14" i="6"/>
  <c r="G14" i="6"/>
  <c r="K14" i="6"/>
  <c r="N14" i="6"/>
  <c r="F14" i="6"/>
  <c r="J26" i="29"/>
  <c r="I28" i="29"/>
  <c r="G34" i="2"/>
  <c r="G49" i="2"/>
  <c r="F31" i="3"/>
  <c r="G29" i="2"/>
  <c r="G30" i="2"/>
  <c r="G36" i="2"/>
  <c r="G43" i="2"/>
  <c r="H28" i="2"/>
  <c r="I26" i="2"/>
  <c r="E46" i="2"/>
  <c r="D28" i="3" s="1"/>
  <c r="D25" i="3"/>
  <c r="H34" i="25"/>
  <c r="H49" i="25"/>
  <c r="H29" i="25"/>
  <c r="H30" i="25"/>
  <c r="H36" i="25"/>
  <c r="H43" i="25"/>
  <c r="H46" i="25"/>
  <c r="I31" i="27"/>
  <c r="I33" i="27"/>
  <c r="I29" i="27"/>
  <c r="I35" i="27"/>
  <c r="I37" i="27"/>
  <c r="O50" i="22"/>
  <c r="H29" i="29"/>
  <c r="H30" i="29"/>
  <c r="H36" i="29"/>
  <c r="H43" i="29"/>
  <c r="H46" i="29"/>
  <c r="H34" i="29"/>
  <c r="H49" i="29"/>
  <c r="G46" i="2"/>
  <c r="G52" i="2" s="1"/>
  <c r="F34" i="3" s="1"/>
  <c r="F25" i="3"/>
  <c r="I29" i="29"/>
  <c r="I30" i="29"/>
  <c r="I36" i="29"/>
  <c r="I43" i="29"/>
  <c r="I46" i="29"/>
  <c r="I34" i="29"/>
  <c r="I49" i="29"/>
  <c r="K26" i="29"/>
  <c r="K28" i="29"/>
  <c r="J28" i="29"/>
  <c r="L54" i="19"/>
  <c r="L50" i="19"/>
  <c r="L52" i="19"/>
  <c r="L48" i="19"/>
  <c r="I30" i="25"/>
  <c r="I36" i="25"/>
  <c r="I43" i="25"/>
  <c r="I46" i="25"/>
  <c r="I29" i="25"/>
  <c r="I34" i="25"/>
  <c r="I49" i="25"/>
  <c r="E52" i="2"/>
  <c r="N51" i="22"/>
  <c r="O51" i="22"/>
  <c r="E68" i="29"/>
  <c r="J26" i="2"/>
  <c r="I28" i="2"/>
  <c r="H34" i="2"/>
  <c r="H49" i="2"/>
  <c r="G31" i="3"/>
  <c r="H30" i="2"/>
  <c r="H36" i="2"/>
  <c r="H43" i="2"/>
  <c r="H29" i="2"/>
  <c r="N15" i="6"/>
  <c r="E15" i="6"/>
  <c r="I15" i="6"/>
  <c r="H15" i="6"/>
  <c r="J15" i="6"/>
  <c r="C16" i="6"/>
  <c r="L15" i="6"/>
  <c r="M15" i="6"/>
  <c r="G15" i="6"/>
  <c r="K15" i="6"/>
  <c r="F15" i="6"/>
  <c r="Q45" i="19"/>
  <c r="P51" i="19"/>
  <c r="K26" i="25"/>
  <c r="K28" i="25"/>
  <c r="J28" i="25"/>
  <c r="I34" i="2"/>
  <c r="I49" i="2"/>
  <c r="H31" i="3"/>
  <c r="I30" i="2"/>
  <c r="I36" i="2"/>
  <c r="I43" i="2"/>
  <c r="I29" i="2"/>
  <c r="J34" i="29"/>
  <c r="J49" i="29"/>
  <c r="J29" i="29"/>
  <c r="J30" i="29"/>
  <c r="J36" i="29"/>
  <c r="J43" i="29"/>
  <c r="J46" i="29"/>
  <c r="L16" i="6"/>
  <c r="E16" i="6"/>
  <c r="I16" i="6"/>
  <c r="C17" i="6"/>
  <c r="H16" i="6"/>
  <c r="K16" i="6"/>
  <c r="G16" i="6"/>
  <c r="J16" i="6"/>
  <c r="F16" i="6"/>
  <c r="M16" i="6"/>
  <c r="N16" i="6"/>
  <c r="N55" i="22"/>
  <c r="K30" i="29"/>
  <c r="K34" i="29"/>
  <c r="K29" i="29"/>
  <c r="F28" i="3"/>
  <c r="J34" i="25"/>
  <c r="J49" i="25"/>
  <c r="J29" i="25"/>
  <c r="J30" i="25"/>
  <c r="J36" i="25"/>
  <c r="J43" i="25"/>
  <c r="J46" i="25"/>
  <c r="I52" i="25"/>
  <c r="K34" i="25"/>
  <c r="K29" i="25"/>
  <c r="K30" i="25"/>
  <c r="K36" i="25"/>
  <c r="K43" i="25"/>
  <c r="O55" i="22"/>
  <c r="G25" i="3"/>
  <c r="H46" i="2"/>
  <c r="G28" i="3" s="1"/>
  <c r="D34" i="3"/>
  <c r="K26" i="2"/>
  <c r="K28" i="2"/>
  <c r="J28" i="2"/>
  <c r="R45" i="19"/>
  <c r="Q51" i="19"/>
  <c r="M48" i="19"/>
  <c r="M54" i="19"/>
  <c r="M50" i="19"/>
  <c r="M52" i="19"/>
  <c r="I46" i="2"/>
  <c r="I52" i="2" s="1"/>
  <c r="H34" i="3" s="1"/>
  <c r="H25" i="3"/>
  <c r="K36" i="29"/>
  <c r="K43" i="29"/>
  <c r="K34" i="2"/>
  <c r="K29" i="2"/>
  <c r="K30" i="2"/>
  <c r="K36" i="2"/>
  <c r="K43" i="2"/>
  <c r="J25" i="3"/>
  <c r="E58" i="3"/>
  <c r="R51" i="19"/>
  <c r="S45" i="19"/>
  <c r="N56" i="22"/>
  <c r="N58" i="22"/>
  <c r="N67" i="22" s="1"/>
  <c r="O56" i="22"/>
  <c r="O58" i="22"/>
  <c r="N48" i="19"/>
  <c r="N54" i="19"/>
  <c r="N50" i="19"/>
  <c r="N52" i="19"/>
  <c r="J34" i="2"/>
  <c r="J49" i="2"/>
  <c r="I31" i="3"/>
  <c r="E64" i="3"/>
  <c r="E66" i="3"/>
  <c r="J30" i="2"/>
  <c r="J36" i="2"/>
  <c r="J43" i="2"/>
  <c r="J29" i="2"/>
  <c r="K17" i="6"/>
  <c r="E17" i="6"/>
  <c r="I17" i="6"/>
  <c r="C18" i="6"/>
  <c r="L17" i="6"/>
  <c r="M17" i="6"/>
  <c r="J17" i="6"/>
  <c r="F17" i="6"/>
  <c r="G17" i="6"/>
  <c r="N17" i="6"/>
  <c r="H17" i="6"/>
  <c r="E46" i="3"/>
  <c r="E59" i="3"/>
  <c r="E47" i="3"/>
  <c r="E64" i="29"/>
  <c r="J46" i="2"/>
  <c r="I25" i="3"/>
  <c r="G18" i="6"/>
  <c r="L18" i="6"/>
  <c r="M18" i="6"/>
  <c r="E18" i="6"/>
  <c r="K18" i="6"/>
  <c r="I18" i="6"/>
  <c r="N18" i="6"/>
  <c r="J18" i="6"/>
  <c r="H18" i="6"/>
  <c r="F18" i="6"/>
  <c r="C19" i="6"/>
  <c r="O50" i="19"/>
  <c r="O52" i="19"/>
  <c r="O54" i="19"/>
  <c r="O48" i="19"/>
  <c r="S51" i="19"/>
  <c r="T45" i="19"/>
  <c r="P48" i="19"/>
  <c r="P54" i="19"/>
  <c r="P50" i="19"/>
  <c r="P52" i="19"/>
  <c r="U45" i="19"/>
  <c r="T51" i="19"/>
  <c r="E60" i="3"/>
  <c r="E68" i="3"/>
  <c r="E72" i="3"/>
  <c r="M19" i="6"/>
  <c r="L19" i="6"/>
  <c r="K19" i="6"/>
  <c r="G19" i="6"/>
  <c r="N19" i="6"/>
  <c r="H19" i="6"/>
  <c r="C20" i="6"/>
  <c r="I19" i="6"/>
  <c r="E19" i="6"/>
  <c r="F19" i="6"/>
  <c r="J19" i="6"/>
  <c r="J52" i="2"/>
  <c r="I28" i="3"/>
  <c r="E48" i="3"/>
  <c r="E63" i="29"/>
  <c r="E65" i="29"/>
  <c r="E77" i="3"/>
  <c r="E78" i="3"/>
  <c r="E50" i="3"/>
  <c r="E67" i="29"/>
  <c r="E73" i="3"/>
  <c r="Q54" i="19"/>
  <c r="Q48" i="19"/>
  <c r="Q50" i="19"/>
  <c r="Q52" i="19"/>
  <c r="U51" i="19"/>
  <c r="V45" i="19"/>
  <c r="V51" i="19"/>
  <c r="E70" i="29"/>
  <c r="I34" i="3"/>
  <c r="I20" i="6"/>
  <c r="F20" i="6"/>
  <c r="M20" i="6"/>
  <c r="C21" i="6"/>
  <c r="G20" i="6"/>
  <c r="H20" i="6"/>
  <c r="J20" i="6"/>
  <c r="N20" i="6"/>
  <c r="L20" i="6"/>
  <c r="K20" i="6"/>
  <c r="E20" i="6"/>
  <c r="E21" i="6"/>
  <c r="M21" i="6"/>
  <c r="G21" i="6"/>
  <c r="H21" i="6"/>
  <c r="L21" i="6"/>
  <c r="N21" i="6"/>
  <c r="K21" i="6"/>
  <c r="C22" i="6"/>
  <c r="I21" i="6"/>
  <c r="F21" i="6"/>
  <c r="J21" i="6"/>
  <c r="R50" i="19"/>
  <c r="R52" i="19"/>
  <c r="R54" i="19"/>
  <c r="R48" i="19"/>
  <c r="E53" i="3"/>
  <c r="J68" i="2" s="1"/>
  <c r="S48" i="19"/>
  <c r="S50" i="19"/>
  <c r="S52" i="19"/>
  <c r="S54" i="19"/>
  <c r="M22" i="6"/>
  <c r="C23" i="6"/>
  <c r="N22" i="6"/>
  <c r="J22" i="6"/>
  <c r="H22" i="6"/>
  <c r="G22" i="6"/>
  <c r="K22" i="6"/>
  <c r="L22" i="6"/>
  <c r="E22" i="6"/>
  <c r="F22" i="6"/>
  <c r="I22" i="6"/>
  <c r="T48" i="19"/>
  <c r="T54" i="19"/>
  <c r="T50" i="19"/>
  <c r="T52" i="19"/>
  <c r="H23" i="6"/>
  <c r="F23" i="6"/>
  <c r="L23" i="6"/>
  <c r="E23" i="6"/>
  <c r="I23" i="6"/>
  <c r="J23" i="6"/>
  <c r="C24" i="6"/>
  <c r="K23" i="6"/>
  <c r="G23" i="6"/>
  <c r="N23" i="6"/>
  <c r="M23" i="6"/>
  <c r="L24" i="6"/>
  <c r="M24" i="6"/>
  <c r="J24" i="6"/>
  <c r="I24" i="6"/>
  <c r="F24" i="6"/>
  <c r="E24" i="6"/>
  <c r="K24" i="6"/>
  <c r="G24" i="6"/>
  <c r="C25" i="6"/>
  <c r="N24" i="6"/>
  <c r="H24" i="6"/>
  <c r="U54" i="19"/>
  <c r="U50" i="19"/>
  <c r="U52" i="19"/>
  <c r="U48" i="19"/>
  <c r="V48" i="19"/>
  <c r="V54" i="19"/>
  <c r="V50" i="19"/>
  <c r="V52" i="19"/>
  <c r="J25" i="6"/>
  <c r="G25" i="6"/>
  <c r="E25" i="6"/>
  <c r="M25" i="6"/>
  <c r="F25" i="6"/>
  <c r="H25" i="6"/>
  <c r="L25" i="6"/>
  <c r="C26" i="6"/>
  <c r="N25" i="6"/>
  <c r="K25" i="6"/>
  <c r="I25" i="6"/>
  <c r="G26" i="6"/>
  <c r="K26" i="6"/>
  <c r="H26" i="6"/>
  <c r="L26" i="6"/>
  <c r="C27" i="6"/>
  <c r="J26" i="6"/>
  <c r="M26" i="6"/>
  <c r="F26" i="6"/>
  <c r="E26" i="6"/>
  <c r="N26" i="6"/>
  <c r="I26" i="6"/>
  <c r="J27" i="6"/>
  <c r="M27" i="6"/>
  <c r="K27" i="6"/>
  <c r="G27" i="6"/>
  <c r="I27" i="6"/>
  <c r="E27" i="6"/>
  <c r="F27" i="6"/>
  <c r="H27" i="6"/>
  <c r="C28" i="6"/>
  <c r="N27" i="6"/>
  <c r="L27" i="6"/>
  <c r="L28" i="6"/>
  <c r="N28" i="6"/>
  <c r="G28" i="6"/>
  <c r="J28" i="6"/>
  <c r="F28" i="6"/>
  <c r="E28" i="6"/>
  <c r="M28" i="6"/>
  <c r="K28" i="6"/>
  <c r="I28" i="6"/>
  <c r="H28" i="6"/>
  <c r="C29" i="6"/>
  <c r="M29" i="6"/>
  <c r="N29" i="6"/>
  <c r="K29" i="6"/>
  <c r="F29" i="6"/>
  <c r="I29" i="6"/>
  <c r="H29" i="6"/>
  <c r="L29" i="6"/>
  <c r="C30" i="6"/>
  <c r="G29" i="6"/>
  <c r="J29" i="6"/>
  <c r="E29" i="6"/>
  <c r="G30" i="6"/>
  <c r="N30" i="6"/>
  <c r="J30" i="6"/>
  <c r="K30" i="6"/>
  <c r="L30" i="6"/>
  <c r="F30" i="6"/>
  <c r="M30" i="6"/>
  <c r="H30" i="6"/>
  <c r="I30" i="6"/>
  <c r="C31" i="6"/>
  <c r="E30" i="6"/>
  <c r="I31" i="6"/>
  <c r="G31" i="6"/>
  <c r="K31" i="6"/>
  <c r="N31" i="6"/>
  <c r="C32" i="6"/>
  <c r="H31" i="6"/>
  <c r="J31" i="6"/>
  <c r="L31" i="6"/>
  <c r="E31" i="6"/>
  <c r="M31" i="6"/>
  <c r="F31" i="6"/>
  <c r="N32" i="6"/>
  <c r="F32" i="6"/>
  <c r="K32" i="6"/>
  <c r="C33" i="6"/>
  <c r="J32" i="6"/>
  <c r="E32" i="6"/>
  <c r="M32" i="6"/>
  <c r="G32" i="6"/>
  <c r="I32" i="6"/>
  <c r="H32" i="6"/>
  <c r="L32" i="6"/>
  <c r="F33" i="6"/>
  <c r="K33" i="6"/>
  <c r="L33" i="6"/>
  <c r="I33" i="6"/>
  <c r="M33" i="6"/>
  <c r="G33" i="6"/>
  <c r="J33" i="6"/>
  <c r="N33" i="6"/>
  <c r="H33" i="6"/>
  <c r="E33" i="6"/>
  <c r="C34" i="6"/>
  <c r="K34" i="6"/>
  <c r="F34" i="6"/>
  <c r="N34" i="6"/>
  <c r="C35" i="6"/>
  <c r="M34" i="6"/>
  <c r="H34" i="6"/>
  <c r="I34" i="6"/>
  <c r="G34" i="6"/>
  <c r="L34" i="6"/>
  <c r="E34" i="6"/>
  <c r="J34" i="6"/>
  <c r="H35" i="6"/>
  <c r="J35" i="6"/>
  <c r="E35" i="6"/>
  <c r="I35" i="6"/>
  <c r="K35" i="6"/>
  <c r="L35" i="6"/>
  <c r="F35" i="6"/>
  <c r="M35" i="6"/>
  <c r="C36" i="6"/>
  <c r="N35" i="6"/>
  <c r="G35" i="6"/>
  <c r="I36" i="6"/>
  <c r="M36" i="6"/>
  <c r="G36" i="6"/>
  <c r="C37" i="6"/>
  <c r="N36" i="6"/>
  <c r="E36" i="6"/>
  <c r="K36" i="6"/>
  <c r="L36" i="6"/>
  <c r="F36" i="6"/>
  <c r="H36" i="6"/>
  <c r="J36" i="6"/>
  <c r="E37" i="6"/>
  <c r="G37" i="6"/>
  <c r="C38" i="6"/>
  <c r="H37" i="6"/>
  <c r="L37" i="6"/>
  <c r="F37" i="6"/>
  <c r="J37" i="6"/>
  <c r="N37" i="6"/>
  <c r="K37" i="6"/>
  <c r="I37" i="6"/>
  <c r="M37" i="6"/>
  <c r="J38" i="6"/>
  <c r="M38" i="6"/>
  <c r="G38" i="6"/>
  <c r="H38" i="6"/>
  <c r="C39" i="6"/>
  <c r="L38" i="6"/>
  <c r="K38" i="6"/>
  <c r="E38" i="6"/>
  <c r="I38" i="6"/>
  <c r="F38" i="6"/>
  <c r="N38" i="6"/>
  <c r="G39" i="6"/>
  <c r="M39" i="6"/>
  <c r="H39" i="6"/>
  <c r="K39" i="6"/>
  <c r="I39" i="6"/>
  <c r="L39" i="6"/>
  <c r="J39" i="6"/>
  <c r="N39" i="6"/>
  <c r="F39" i="6"/>
  <c r="E39" i="6"/>
  <c r="E54" i="25" l="1"/>
  <c r="E56" i="25" s="1"/>
  <c r="E57" i="25" s="1"/>
  <c r="E58" i="25" s="1"/>
  <c r="E53" i="25"/>
  <c r="C16" i="9"/>
  <c r="D16" i="9" s="1"/>
  <c r="E16" i="9" s="1"/>
  <c r="D53" i="29"/>
  <c r="E53" i="29" s="1"/>
  <c r="F53" i="29" s="1"/>
  <c r="G53" i="29" s="1"/>
  <c r="H53" i="29" s="1"/>
  <c r="D56" i="29"/>
  <c r="D57" i="29" s="1"/>
  <c r="D58" i="29" s="1"/>
  <c r="D56" i="25"/>
  <c r="D57" i="25" s="1"/>
  <c r="D58" i="25" s="1"/>
  <c r="G54" i="25"/>
  <c r="G56" i="25" s="1"/>
  <c r="G57" i="25" s="1"/>
  <c r="G58" i="25" s="1"/>
  <c r="G54" i="29"/>
  <c r="G56" i="29" s="1"/>
  <c r="G57" i="29" s="1"/>
  <c r="G58" i="29" s="1"/>
  <c r="F54" i="25"/>
  <c r="F56" i="25" s="1"/>
  <c r="F57" i="25" s="1"/>
  <c r="F58" i="25" s="1"/>
  <c r="C34" i="3"/>
  <c r="H52" i="2"/>
  <c r="G34" i="3" s="1"/>
  <c r="E28" i="3"/>
  <c r="D53" i="2"/>
  <c r="C35" i="3" s="1"/>
  <c r="H28" i="3"/>
  <c r="C38" i="3"/>
  <c r="D58" i="2"/>
  <c r="C39" i="3"/>
  <c r="F53" i="25" l="1"/>
  <c r="C17" i="9"/>
  <c r="D17" i="9" s="1"/>
  <c r="E17" i="9" s="1"/>
  <c r="H54" i="29"/>
  <c r="H56" i="29" s="1"/>
  <c r="H57" i="29" s="1"/>
  <c r="H58" i="29" s="1"/>
  <c r="G53" i="25"/>
  <c r="H53" i="25" s="1"/>
  <c r="E53" i="2"/>
  <c r="D67" i="2"/>
  <c r="D69" i="2" s="1"/>
  <c r="C40" i="3"/>
  <c r="I53" i="29" l="1"/>
  <c r="C18" i="9"/>
  <c r="D18" i="9" s="1"/>
  <c r="E18" i="9" s="1"/>
  <c r="H54" i="25"/>
  <c r="H56" i="25" s="1"/>
  <c r="H57" i="25" s="1"/>
  <c r="H58" i="25" s="1"/>
  <c r="I54" i="29"/>
  <c r="I56" i="29" s="1"/>
  <c r="I57" i="29" s="1"/>
  <c r="I58" i="29" s="1"/>
  <c r="E54" i="2"/>
  <c r="D35" i="3"/>
  <c r="I53" i="25" l="1"/>
  <c r="C19" i="9"/>
  <c r="D19" i="9" s="1"/>
  <c r="E19" i="9" s="1"/>
  <c r="J53" i="29"/>
  <c r="J54" i="29" s="1"/>
  <c r="J56" i="29" s="1"/>
  <c r="J57" i="29" s="1"/>
  <c r="J58" i="29" s="1"/>
  <c r="I54" i="25"/>
  <c r="I56" i="25" s="1"/>
  <c r="I57" i="25" s="1"/>
  <c r="I58" i="25" s="1"/>
  <c r="E56" i="2"/>
  <c r="D36" i="3"/>
  <c r="F53" i="2"/>
  <c r="C20" i="9" l="1"/>
  <c r="D20" i="9" s="1"/>
  <c r="E20" i="9" s="1"/>
  <c r="J53" i="25"/>
  <c r="J54" i="25" s="1"/>
  <c r="J56" i="25" s="1"/>
  <c r="J57" i="25" s="1"/>
  <c r="J58" i="25" s="1"/>
  <c r="E57" i="2"/>
  <c r="D38" i="3"/>
  <c r="E35" i="3"/>
  <c r="F54" i="2"/>
  <c r="G53" i="2"/>
  <c r="G54" i="2" l="1"/>
  <c r="F35" i="3"/>
  <c r="E36" i="3"/>
  <c r="F56" i="2"/>
  <c r="D39" i="3"/>
  <c r="E58" i="2"/>
  <c r="F57" i="2" l="1"/>
  <c r="E38" i="3"/>
  <c r="E67" i="2"/>
  <c r="E69" i="2" s="1"/>
  <c r="D40" i="3"/>
  <c r="H53" i="2"/>
  <c r="G56" i="2"/>
  <c r="F36" i="3"/>
  <c r="H54" i="2" l="1"/>
  <c r="G35" i="3"/>
  <c r="I53" i="2"/>
  <c r="G57" i="2"/>
  <c r="F38" i="3"/>
  <c r="E39" i="3"/>
  <c r="F58" i="2"/>
  <c r="G58" i="2" l="1"/>
  <c r="F39" i="3"/>
  <c r="F67" i="2"/>
  <c r="F69" i="2" s="1"/>
  <c r="E40" i="3"/>
  <c r="H35" i="3"/>
  <c r="I54" i="2"/>
  <c r="G36" i="3"/>
  <c r="H56" i="2"/>
  <c r="H36" i="3" l="1"/>
  <c r="I56" i="2"/>
  <c r="J53" i="2"/>
  <c r="G38" i="3"/>
  <c r="H57" i="2"/>
  <c r="F40" i="3"/>
  <c r="G67" i="2"/>
  <c r="G69" i="2" s="1"/>
  <c r="H58" i="2" l="1"/>
  <c r="G39" i="3"/>
  <c r="J54" i="2"/>
  <c r="I35" i="3"/>
  <c r="I57" i="2"/>
  <c r="H38" i="3"/>
  <c r="H67" i="2" l="1"/>
  <c r="H69" i="2" s="1"/>
  <c r="G40" i="3"/>
  <c r="I58" i="2"/>
  <c r="H39" i="3"/>
  <c r="J56" i="2"/>
  <c r="I36" i="3"/>
  <c r="I38" i="3" l="1"/>
  <c r="J57" i="2"/>
  <c r="H40" i="3"/>
  <c r="I67" i="2"/>
  <c r="I69" i="2" s="1"/>
  <c r="I39" i="3" l="1"/>
  <c r="J58" i="2"/>
  <c r="J67" i="2" l="1"/>
  <c r="J69" i="2" s="1"/>
  <c r="I40" i="3"/>
  <c r="D76" i="22"/>
  <c r="D84" i="22" s="1"/>
  <c r="D75" i="22"/>
  <c r="D81" i="22"/>
  <c r="D80"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 Kirsch</author>
  </authors>
  <commentList>
    <comment ref="D8" authorId="0" shapeId="0" xr:uid="{A79D2609-4FAA-4AB1-8AF4-D9D377898923}">
      <text>
        <r>
          <rPr>
            <b/>
            <sz val="9"/>
            <color indexed="81"/>
            <rFont val="Tahoma"/>
            <family val="2"/>
          </rPr>
          <t>Author's Note:</t>
        </r>
        <r>
          <rPr>
            <sz val="9"/>
            <color indexed="81"/>
            <rFont val="Tahoma"/>
            <family val="2"/>
          </rPr>
          <t xml:space="preserve">
10,000 years is purposefully used to simulate an interest-only loan.</t>
        </r>
      </text>
    </comment>
  </commentList>
</comments>
</file>

<file path=xl/sharedStrings.xml><?xml version="1.0" encoding="utf-8"?>
<sst xmlns="http://schemas.openxmlformats.org/spreadsheetml/2006/main" count="474" uniqueCount="182">
  <si>
    <t>Annuity Factor Formula</t>
  </si>
  <si>
    <t>Year</t>
  </si>
  <si>
    <t>Interest</t>
  </si>
  <si>
    <t>Loan Amount</t>
  </si>
  <si>
    <t>Interest Rate</t>
  </si>
  <si>
    <t>Interest Payment</t>
  </si>
  <si>
    <t>Principal Payment</t>
  </si>
  <si>
    <t>Mortgage Balance</t>
  </si>
  <si>
    <t>Acquisition Cost</t>
  </si>
  <si>
    <t>Implied Land Value</t>
  </si>
  <si>
    <t>Capital Gains Tax Rate</t>
  </si>
  <si>
    <t>Tax Rate on Accumulated Depreciation</t>
  </si>
  <si>
    <t>Ordinary Income Tax Rate</t>
  </si>
  <si>
    <t>Going-Out Capitalization Rate</t>
  </si>
  <si>
    <t>1st Year Base Rent Revenues</t>
  </si>
  <si>
    <t>Base Rent Annual Increase</t>
  </si>
  <si>
    <t>Projected Vacancy</t>
  </si>
  <si>
    <t>Annual Operating Expense Increase</t>
  </si>
  <si>
    <t>First Year RE Taxes as % of gross rent roll.</t>
  </si>
  <si>
    <t>Annual Real Estate Tax Increase</t>
  </si>
  <si>
    <t>Equity Investment</t>
  </si>
  <si>
    <t>First Mortgage Loan Amount</t>
  </si>
  <si>
    <t>First Mortgage Interest Rate (%)</t>
  </si>
  <si>
    <t>Loan Proceeds Disbursed</t>
  </si>
  <si>
    <t>Debt Service Payment Received</t>
  </si>
  <si>
    <t>Repayment of Loan Balance</t>
  </si>
  <si>
    <t>Yield to Lender (IRR)</t>
  </si>
  <si>
    <t>Base Rental Revenues</t>
  </si>
  <si>
    <t>Expense Reimbursement Revenue</t>
  </si>
  <si>
    <t>Gross Revenues</t>
  </si>
  <si>
    <t>Effective Gross Income (EGI)</t>
  </si>
  <si>
    <t>Operating Expenses</t>
  </si>
  <si>
    <t>Real Estate Taxes</t>
  </si>
  <si>
    <t>Replacement Reserve</t>
  </si>
  <si>
    <t>Net Operating Income</t>
  </si>
  <si>
    <t>Taxable Income (Loss)</t>
  </si>
  <si>
    <t>Application of</t>
  </si>
  <si>
    <t>Net Taxable Income (Loss)</t>
  </si>
  <si>
    <t xml:space="preserve"> </t>
  </si>
  <si>
    <t>Gross Sales Price</t>
  </si>
  <si>
    <t>Net Sales Price</t>
  </si>
  <si>
    <t>Net Sales Proceeds</t>
  </si>
  <si>
    <t>IRR</t>
  </si>
  <si>
    <t>Total Payment</t>
  </si>
  <si>
    <t>Transaction Costs</t>
  </si>
  <si>
    <t>Sales Costs</t>
  </si>
  <si>
    <t>Initial Investment</t>
  </si>
  <si>
    <t>Debt</t>
  </si>
  <si>
    <t>3 Bedroom</t>
  </si>
  <si>
    <t>2 Bedroom</t>
  </si>
  <si>
    <t>Average</t>
  </si>
  <si>
    <t>Pricing</t>
  </si>
  <si>
    <t>3 Bedroom Units</t>
  </si>
  <si>
    <t>2 Bedroom Units</t>
  </si>
  <si>
    <t>Unlevered Cash Flows</t>
  </si>
  <si>
    <t>Subtotal</t>
  </si>
  <si>
    <t>Expenses</t>
  </si>
  <si>
    <t>Total Revenue</t>
  </si>
  <si>
    <t>3-Bedroom</t>
  </si>
  <si>
    <t>2-Bedroom</t>
  </si>
  <si>
    <t>Revenue</t>
  </si>
  <si>
    <t>Q4</t>
  </si>
  <si>
    <t>Q3</t>
  </si>
  <si>
    <t>Q2</t>
  </si>
  <si>
    <t>Q1</t>
  </si>
  <si>
    <t>Transaction Cost</t>
  </si>
  <si>
    <t>Purchase of Building</t>
  </si>
  <si>
    <t>Time 0</t>
  </si>
  <si>
    <t xml:space="preserve">CONDO DEVELOPMENT </t>
  </si>
  <si>
    <t>Accrual Ending Balance</t>
  </si>
  <si>
    <t>Accrual Beginning Balance</t>
  </si>
  <si>
    <t>Ending Balance</t>
  </si>
  <si>
    <t>Remaining Drawable Debt</t>
  </si>
  <si>
    <t>Beginning Balance</t>
  </si>
  <si>
    <t>Principal</t>
  </si>
  <si>
    <t>-</t>
    <phoneticPr fontId="2" type="noConversion"/>
  </si>
  <si>
    <t>Year 1</t>
  </si>
  <si>
    <t>Year 2</t>
  </si>
  <si>
    <t>Year 3</t>
  </si>
  <si>
    <t>Assumptions:</t>
  </si>
  <si>
    <t>Loan Points</t>
  </si>
  <si>
    <t>Depreciable Basis</t>
  </si>
  <si>
    <t>Depreciable Life (in Years)</t>
  </si>
  <si>
    <t>First Mortgage Annual Debt Payment (annual payments)</t>
  </si>
  <si>
    <t>Amortization Term (Years)</t>
  </si>
  <si>
    <t>ANY ASSUMPTIONS CHANGES MUST BE MADE IN BLUE INPUT CELLS ON FIG PIII.1 TAB</t>
  </si>
  <si>
    <t>Years of Loan Points Amortization</t>
  </si>
  <si>
    <t>Brokerage Commission</t>
  </si>
  <si>
    <t>Discount Rate</t>
  </si>
  <si>
    <t>Mortgage Amount</t>
  </si>
  <si>
    <t>Equity</t>
  </si>
  <si>
    <t>Building Purchase Price</t>
  </si>
  <si>
    <t>Construction Loan Amount</t>
  </si>
  <si>
    <t>Total Project Cost</t>
  </si>
  <si>
    <t>Presales</t>
  </si>
  <si>
    <t>Post-Construction Sales</t>
  </si>
  <si>
    <t>Unit Closing Schedule</t>
  </si>
  <si>
    <t>Unit Down Payment</t>
  </si>
  <si>
    <t>Price Growth</t>
  </si>
  <si>
    <t>Presale Down Payment</t>
  </si>
  <si>
    <t>Closings</t>
  </si>
  <si>
    <t>Sales and Closings</t>
  </si>
  <si>
    <t>Development &amp; Construction</t>
  </si>
  <si>
    <t>Check</t>
  </si>
  <si>
    <t>Suspended Losses</t>
  </si>
  <si>
    <t>Kathy Crest Cash Flow</t>
  </si>
  <si>
    <t>First Mortgage Debt Service</t>
  </si>
  <si>
    <t>After-Tax Cash Flow</t>
  </si>
  <si>
    <t>Less:  Tax Liability</t>
  </si>
  <si>
    <t>Less:  Depreciation</t>
  </si>
  <si>
    <t>Plus:  Cap Ex</t>
  </si>
  <si>
    <t>Plus:  Principal Amortization</t>
  </si>
  <si>
    <t>Less:  Points Amortization</t>
  </si>
  <si>
    <t>Less Selling Costs</t>
  </si>
  <si>
    <t>Less Outstanding Mortgage Balance</t>
  </si>
  <si>
    <t>After-Tax Net Sales Proceeds</t>
  </si>
  <si>
    <t>Net After-Tax Profit</t>
  </si>
  <si>
    <r>
      <t xml:space="preserve">(1 / R) – </t>
    </r>
    <r>
      <rPr>
        <sz val="9"/>
        <color rgb="FF00B050"/>
        <rFont val="Calibri"/>
        <family val="2"/>
      </rPr>
      <t>(</t>
    </r>
    <r>
      <rPr>
        <sz val="9"/>
        <color theme="1" tint="0.249977111117893"/>
        <rFont val="Calibri"/>
        <family val="2"/>
      </rPr>
      <t xml:space="preserve">1 / </t>
    </r>
    <r>
      <rPr>
        <sz val="9"/>
        <color theme="9" tint="-0.249977111117893"/>
        <rFont val="Calibri"/>
        <family val="2"/>
      </rPr>
      <t>(</t>
    </r>
    <r>
      <rPr>
        <sz val="9"/>
        <color theme="1" tint="0.249977111117893"/>
        <rFont val="Calibri"/>
        <family val="2"/>
      </rPr>
      <t xml:space="preserve">R * </t>
    </r>
    <r>
      <rPr>
        <sz val="9"/>
        <color rgb="FF0070C0"/>
        <rFont val="Calibri"/>
        <family val="2"/>
      </rPr>
      <t>(</t>
    </r>
    <r>
      <rPr>
        <sz val="9"/>
        <color theme="1" tint="0.249977111117893"/>
        <rFont val="Calibri"/>
        <family val="2"/>
      </rPr>
      <t>1+R</t>
    </r>
    <r>
      <rPr>
        <sz val="9"/>
        <color rgb="FF0070C0"/>
        <rFont val="Calibri"/>
        <family val="2"/>
      </rPr>
      <t>)</t>
    </r>
    <r>
      <rPr>
        <vertAlign val="superscript"/>
        <sz val="9"/>
        <color theme="1" tint="0.249977111117893"/>
        <rFont val="Calibri"/>
        <family val="2"/>
      </rPr>
      <t>T</t>
    </r>
    <r>
      <rPr>
        <sz val="9"/>
        <color theme="9" tint="-0.249977111117893"/>
        <rFont val="Calibri"/>
        <family val="2"/>
      </rPr>
      <t>)</t>
    </r>
    <r>
      <rPr>
        <sz val="9"/>
        <color rgb="FF00B050"/>
        <rFont val="Calibri"/>
        <family val="2"/>
      </rPr>
      <t>)</t>
    </r>
  </si>
  <si>
    <t>Mortgage Constants for Common Interest Rate and Amortization Term Combinations</t>
  </si>
  <si>
    <t>Amortization Schedule in Years</t>
  </si>
  <si>
    <t>Annual Interest Rate</t>
  </si>
  <si>
    <t>Beginning of Year Balance</t>
  </si>
  <si>
    <t>Year-End Balance</t>
  </si>
  <si>
    <t>Kathy Crest Mortgage Payment Schedule with 20-year Amortization</t>
  </si>
  <si>
    <t>Balloon Payment</t>
  </si>
  <si>
    <t>Different Amortization Periods for a $5 MM Loan with a 5% Interest Rate and 7-Year Maturity</t>
  </si>
  <si>
    <t>Kathy Crest After-Tax Cash Flow from Operation with 20-year Amortization First Mortgage</t>
  </si>
  <si>
    <t>Kathy Crest Mortgage Payment Schedule with Constant Amortization</t>
  </si>
  <si>
    <t>Unlevered Cash Flow</t>
  </si>
  <si>
    <t>Condominium Development Pro Forma</t>
  </si>
  <si>
    <t>Regular Sales</t>
  </si>
  <si>
    <t>Pre-sales</t>
  </si>
  <si>
    <t>Condominium Project Construction Loan Projection</t>
  </si>
  <si>
    <t>Repayment</t>
  </si>
  <si>
    <t>Draws (includes Interest)</t>
  </si>
  <si>
    <t>Total</t>
  </si>
  <si>
    <t>Before-Tax Cash Flow</t>
  </si>
  <si>
    <t>Kathy Crest First Mortgage Holder Yield for Zero-Amortization Loan</t>
  </si>
  <si>
    <t>Kathy Crest After-Tax Cash Flow from Operation with Zero-Amortization First Mortgage</t>
  </si>
  <si>
    <t>Before-Tax Levered Cash Flow</t>
  </si>
  <si>
    <t>Kathy Crest DCF Valuation and IRR with Zero-Amortization First Mortgage</t>
  </si>
  <si>
    <t>Before Tax-Levered Cash Flow</t>
  </si>
  <si>
    <t>Kathy Crest Net Sales Proceeds with
Zero-Amortization First Mortgage</t>
  </si>
  <si>
    <t>Figure PIII.7</t>
  </si>
  <si>
    <t>Figure PIII.8</t>
  </si>
  <si>
    <t>DO NOT ERASE OR MOVE -- 20 YEARS OF AMORTIZATION ARE SHOWN BELOW FOR SERVING AS THE DATA SOURCE OF FIGURE PIII.8 -- DO NOT ERASE OR MOVE</t>
  </si>
  <si>
    <t>Figure PIII.10 top chart</t>
  </si>
  <si>
    <t>Kathy Crest Net Sales Proceeds with
20-year Amortization First Mortgage</t>
  </si>
  <si>
    <t>Figure PIII.12</t>
  </si>
  <si>
    <t>Figure PIII.13</t>
  </si>
  <si>
    <t>Figure PIII.14</t>
  </si>
  <si>
    <t>ANY ASSUMPTIONS CHANGES MUST BE MADE IN BLUE INPUT CELLS ON FIG PIII.13 TAB</t>
  </si>
  <si>
    <t>First Year RE Taxes as % of gross rent roll</t>
  </si>
  <si>
    <t>Project-level Cash Flows</t>
  </si>
  <si>
    <t>Figure PIII.2, and Figure PIII.10 bottom chart (hide column C and rows 43-57)</t>
  </si>
  <si>
    <t>Figure PIII.4 (display Column C)</t>
  </si>
  <si>
    <t>Vacancies</t>
  </si>
  <si>
    <t>COLLAPSE FOR PIII.10</t>
  </si>
  <si>
    <t>Sale Income Tax Calculation</t>
  </si>
  <si>
    <t>Selling Costs</t>
  </si>
  <si>
    <t>Less Adjusted Cost Basis:</t>
  </si>
  <si>
    <t>Gain-on-Sale (Capital Gain)</t>
  </si>
  <si>
    <t>Less Accumulated Depreciation</t>
  </si>
  <si>
    <t>Adjusted Cost Basis</t>
  </si>
  <si>
    <t>Plus Capital Improvements</t>
  </si>
  <si>
    <t>Components of Capital Gain:</t>
  </si>
  <si>
    <t>Depreciation Recapture</t>
  </si>
  <si>
    <t>Property Appreciation</t>
  </si>
  <si>
    <t>Capital Gains Tax on Sale:</t>
  </si>
  <si>
    <t>On Accumulated Depreciation</t>
  </si>
  <si>
    <t>On Property Appreciation</t>
  </si>
  <si>
    <t>Total Sale Income Tax Liability</t>
  </si>
  <si>
    <t>Less Sale Income Tax Liability</t>
  </si>
  <si>
    <t>Total After-Tax Cash Flow</t>
  </si>
  <si>
    <t>Figure PIII.3, and Figure PIII.11 left chart</t>
  </si>
  <si>
    <t>Figure PIII.11 right chart</t>
  </si>
  <si>
    <t>Check on Loan Size</t>
  </si>
  <si>
    <t>Fill in the blue shaded cells by following the instructions in the boxes below.</t>
  </si>
  <si>
    <t>NOTE: If you are using the Fifth Edition (not Edition 5.1/5.2), there are typographical errors in what shows on the printed page. The Figure as shown in Editions 5.1/5.2 reflects the correct value for Sale Income Tax Liability (found on the next tab in cell E50), and thus the correct values for After-Tax Net Sales Proceeds, Net After-Tax Profit, NPV at 10.0%, and IRR.</t>
  </si>
  <si>
    <t>Fill in the blue shaded cell by following the instructions in the box below.</t>
  </si>
  <si>
    <t>Fill in the blue shaded cells by following the instructions in the box to the right.</t>
  </si>
  <si>
    <t>Fill in the blue-shaded cells by following the instructions in the box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</si>
</sst>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General\ &quot;year&quot;"/>
    <numFmt numFmtId="167" formatCode="&quot;$&quot;#,###"/>
    <numFmt numFmtId="168" formatCode="&quot;$&quot;&quot;0&quot;"/>
    <numFmt numFmtId="169" formatCode="General_)"/>
    <numFmt numFmtId="170" formatCode="0.0%"/>
    <numFmt numFmtId="171" formatCode="&quot;$&quot;#,##0"/>
    <numFmt numFmtId="172" formatCode="&quot;Year&quot;\ #,##0"/>
    <numFmt numFmtId="173" formatCode="#,##0\ &quot;years&quot;"/>
    <numFmt numFmtId="174" formatCode="0.000"/>
    <numFmt numFmtId="175" formatCode="0\ &quot;years&quot;"/>
    <numFmt numFmtId="176" formatCode="General\ &quot;-year Amortization&quot;"/>
    <numFmt numFmtId="177" formatCode="&quot;$&quot;#,##0.00"/>
    <numFmt numFmtId="178" formatCode="&quot;NPV at&quot;\ 0.0%"/>
    <numFmt numFmtId="179" formatCode="General&quot;-year Amortization&quot;"/>
    <numFmt numFmtId="180" formatCode="0.00%\ &quot;LTC&quot;"/>
    <numFmt numFmtId="181" formatCode="&quot;All Contents Copyright © 2018-&quot;###0\ &quot;by Dr. Peter Linneman. All rights reserved.&quot;"/>
  </numFmts>
  <fonts count="43">
    <font>
      <sz val="11"/>
      <color theme="1"/>
      <name val="Calibri"/>
      <family val="2"/>
      <scheme val="minor"/>
    </font>
    <font>
      <sz val="10"/>
      <name val="Arial"/>
      <family val="2"/>
    </font>
    <font>
      <sz val="9"/>
      <name val="宋体"/>
      <charset val="134"/>
    </font>
    <font>
      <sz val="9"/>
      <name val="Calibri"/>
      <family val="2"/>
    </font>
    <font>
      <b/>
      <sz val="9"/>
      <name val="Calibri"/>
      <family val="2"/>
    </font>
    <font>
      <sz val="11"/>
      <color theme="1"/>
      <name val="Calibri"/>
      <family val="2"/>
      <scheme val="minor"/>
    </font>
    <font>
      <sz val="9"/>
      <color theme="1"/>
      <name val="Calibri"/>
      <family val="2"/>
    </font>
    <font>
      <b/>
      <sz val="9"/>
      <color theme="0"/>
      <name val="Calibri"/>
      <family val="2"/>
    </font>
    <font>
      <b/>
      <sz val="9"/>
      <color rgb="FF0000FF"/>
      <name val="Calibri"/>
      <family val="2"/>
    </font>
    <font>
      <b/>
      <sz val="9"/>
      <color rgb="FFFF0000"/>
      <name val="Calibri"/>
      <family val="2"/>
    </font>
    <font>
      <b/>
      <sz val="9"/>
      <color rgb="FF0000FF"/>
      <name val="Calibri"/>
      <family val="2"/>
      <scheme val="minor"/>
    </font>
    <font>
      <b/>
      <sz val="9"/>
      <name val="Calibri"/>
      <family val="2"/>
      <scheme val="minor"/>
    </font>
    <font>
      <sz val="9"/>
      <name val="Calibri"/>
      <family val="2"/>
      <scheme val="minor"/>
    </font>
    <font>
      <sz val="9"/>
      <color indexed="10"/>
      <name val="Calibri"/>
      <family val="2"/>
      <scheme val="minor"/>
    </font>
    <font>
      <b/>
      <sz val="9"/>
      <color indexed="12"/>
      <name val="Calibri"/>
      <family val="2"/>
      <scheme val="minor"/>
    </font>
    <font>
      <sz val="9"/>
      <color indexed="12"/>
      <name val="Calibri"/>
      <family val="2"/>
      <scheme val="minor"/>
    </font>
    <font>
      <i/>
      <sz val="9"/>
      <name val="Calibri"/>
      <family val="2"/>
      <scheme val="minor"/>
    </font>
    <font>
      <i/>
      <sz val="8"/>
      <name val="Calibri"/>
      <family val="2"/>
      <scheme val="minor"/>
    </font>
    <font>
      <b/>
      <sz val="9"/>
      <color theme="1" tint="0.249977111117893"/>
      <name val="Calibri"/>
      <family val="2"/>
    </font>
    <font>
      <sz val="9"/>
      <color theme="1" tint="0.249977111117893"/>
      <name val="Calibri"/>
      <family val="2"/>
    </font>
    <font>
      <sz val="9"/>
      <color theme="1" tint="0.249977111117893"/>
      <name val="Calibri"/>
      <family val="2"/>
      <scheme val="minor"/>
    </font>
    <font>
      <b/>
      <sz val="9"/>
      <color indexed="9"/>
      <name val="Calibri"/>
      <family val="2"/>
      <scheme val="minor"/>
    </font>
    <font>
      <b/>
      <u/>
      <sz val="9"/>
      <color theme="1" tint="0.249977111117893"/>
      <name val="Calibri"/>
      <family val="2"/>
    </font>
    <font>
      <u/>
      <sz val="9"/>
      <color theme="1" tint="0.249977111117893"/>
      <name val="Calibri"/>
      <family val="2"/>
    </font>
    <font>
      <i/>
      <sz val="9"/>
      <color theme="1" tint="0.249977111117893"/>
      <name val="Calibri"/>
      <family val="2"/>
    </font>
    <font>
      <sz val="9"/>
      <color theme="0"/>
      <name val="Calibri"/>
      <family val="2"/>
    </font>
    <font>
      <b/>
      <sz val="9"/>
      <color theme="1" tint="0.249977111117893"/>
      <name val="Calibri"/>
      <family val="2"/>
      <scheme val="minor"/>
    </font>
    <font>
      <vertAlign val="superscript"/>
      <sz val="9"/>
      <color theme="1" tint="0.249977111117893"/>
      <name val="Calibri"/>
      <family val="2"/>
    </font>
    <font>
      <sz val="9"/>
      <color theme="9" tint="-0.249977111117893"/>
      <name val="Calibri"/>
      <family val="2"/>
    </font>
    <font>
      <sz val="9"/>
      <color rgb="FF00B050"/>
      <name val="Calibri"/>
      <family val="2"/>
    </font>
    <font>
      <sz val="9"/>
      <color rgb="FF0070C0"/>
      <name val="Calibri"/>
      <family val="2"/>
    </font>
    <font>
      <b/>
      <sz val="9"/>
      <name val="Arial"/>
      <family val="2"/>
    </font>
    <font>
      <sz val="10"/>
      <color theme="1" tint="0.249977111117893"/>
      <name val="Arial"/>
      <family val="2"/>
    </font>
    <font>
      <b/>
      <sz val="8"/>
      <color rgb="FF0000FF"/>
      <name val="Calibri"/>
      <family val="2"/>
    </font>
    <font>
      <sz val="8"/>
      <color theme="1" tint="0.249977111117893"/>
      <name val="Calibri"/>
      <family val="2"/>
    </font>
    <font>
      <sz val="9"/>
      <color indexed="81"/>
      <name val="Tahoma"/>
      <family val="2"/>
    </font>
    <font>
      <b/>
      <sz val="9"/>
      <color indexed="81"/>
      <name val="Tahoma"/>
      <family val="2"/>
    </font>
    <font>
      <i/>
      <sz val="8"/>
      <color theme="1" tint="0.249977111117893"/>
      <name val="Calibri"/>
      <family val="2"/>
      <scheme val="minor"/>
    </font>
    <font>
      <i/>
      <sz val="9"/>
      <color theme="1" tint="0.249977111117893"/>
      <name val="Calibri"/>
      <family val="2"/>
      <scheme val="minor"/>
    </font>
    <font>
      <b/>
      <sz val="9"/>
      <color theme="1"/>
      <name val="Calibri"/>
      <family val="2"/>
    </font>
    <font>
      <sz val="9"/>
      <color theme="1" tint="0.24994659260841701"/>
      <name val="Calibri"/>
      <family val="2"/>
    </font>
    <font>
      <sz val="9"/>
      <color rgb="FFFF0000"/>
      <name val="Calibri"/>
      <family val="2"/>
      <scheme val="minor"/>
    </font>
    <font>
      <sz val="9"/>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3F67B1"/>
        <bgColor indexed="64"/>
      </patternFill>
    </fill>
    <fill>
      <patternFill patternType="solid">
        <fgColor rgb="FFAFC8ED"/>
        <bgColor indexed="64"/>
      </patternFill>
    </fill>
    <fill>
      <patternFill patternType="solid">
        <fgColor rgb="FF2C58A1"/>
        <bgColor indexed="64"/>
      </patternFill>
    </fill>
    <fill>
      <patternFill patternType="solid">
        <fgColor theme="3" tint="0.79998168889431442"/>
        <bgColor indexed="64"/>
      </patternFill>
    </fill>
  </fills>
  <borders count="31">
    <border>
      <left/>
      <right/>
      <top/>
      <bottom/>
      <diagonal/>
    </border>
    <border>
      <left/>
      <right/>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ck">
        <color rgb="FF3F67B1"/>
      </left>
      <right/>
      <top style="thick">
        <color rgb="FF3F67B1"/>
      </top>
      <bottom style="thick">
        <color rgb="FF3F67B1"/>
      </bottom>
      <diagonal/>
    </border>
    <border>
      <left/>
      <right/>
      <top style="thick">
        <color rgb="FF3F67B1"/>
      </top>
      <bottom style="thick">
        <color rgb="FF3F67B1"/>
      </bottom>
      <diagonal/>
    </border>
    <border>
      <left/>
      <right style="thick">
        <color rgb="FF3F67B1"/>
      </right>
      <top style="thick">
        <color rgb="FF3F67B1"/>
      </top>
      <bottom style="thick">
        <color rgb="FF3F67B1"/>
      </bottom>
      <diagonal/>
    </border>
    <border>
      <left style="thick">
        <color rgb="FF3F67B1"/>
      </left>
      <right/>
      <top/>
      <bottom/>
      <diagonal/>
    </border>
    <border>
      <left/>
      <right style="thick">
        <color rgb="FF3F67B1"/>
      </right>
      <top/>
      <bottom/>
      <diagonal/>
    </border>
    <border>
      <left style="thick">
        <color rgb="FF3F67B1"/>
      </left>
      <right/>
      <top/>
      <bottom style="thick">
        <color rgb="FF3F67B1"/>
      </bottom>
      <diagonal/>
    </border>
    <border>
      <left/>
      <right/>
      <top/>
      <bottom style="thick">
        <color rgb="FF3F67B1"/>
      </bottom>
      <diagonal/>
    </border>
    <border>
      <left/>
      <right style="thick">
        <color rgb="FF3F67B1"/>
      </right>
      <top/>
      <bottom style="thick">
        <color rgb="FF3F67B1"/>
      </bottom>
      <diagonal/>
    </border>
    <border>
      <left style="thick">
        <color rgb="FF3F67B1"/>
      </left>
      <right style="thick">
        <color rgb="FF3F67B1"/>
      </right>
      <top style="thick">
        <color rgb="FF3F67B1"/>
      </top>
      <bottom style="thick">
        <color rgb="FF3F67B1"/>
      </bottom>
      <diagonal/>
    </border>
    <border>
      <left style="thick">
        <color rgb="FF3F67B1"/>
      </left>
      <right style="thick">
        <color rgb="FF3F67B1"/>
      </right>
      <top/>
      <bottom/>
      <diagonal/>
    </border>
    <border>
      <left style="thick">
        <color rgb="FF3F67B1"/>
      </left>
      <right style="thick">
        <color rgb="FF3F67B1"/>
      </right>
      <top/>
      <bottom style="thick">
        <color rgb="FF3F67B1"/>
      </bottom>
      <diagonal/>
    </border>
    <border>
      <left/>
      <right/>
      <top style="thick">
        <color rgb="FF3F67B1"/>
      </top>
      <bottom/>
      <diagonal/>
    </border>
    <border>
      <left/>
      <right style="thick">
        <color rgb="FF3F67B1"/>
      </right>
      <top style="thick">
        <color rgb="FF3F67B1"/>
      </top>
      <bottom/>
      <diagonal/>
    </border>
    <border>
      <left style="thick">
        <color rgb="FF3F67B1"/>
      </left>
      <right/>
      <top style="thick">
        <color rgb="FF3F67B1"/>
      </top>
      <bottom/>
      <diagonal/>
    </border>
    <border>
      <left/>
      <right style="thick">
        <color rgb="FF3F67B1"/>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3"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1" fillId="0" borderId="0"/>
    <xf numFmtId="9" fontId="5" fillId="0" borderId="0" applyFont="0" applyFill="0" applyBorder="0" applyAlignment="0" applyProtection="0"/>
    <xf numFmtId="9" fontId="1" fillId="0" borderId="0" applyFont="0" applyFill="0" applyBorder="0" applyAlignment="0" applyProtection="0"/>
  </cellStyleXfs>
  <cellXfs count="390">
    <xf numFmtId="0" fontId="0" fillId="0" borderId="0" xfId="0"/>
    <xf numFmtId="0" fontId="1" fillId="0" borderId="0" xfId="4"/>
    <xf numFmtId="169" fontId="3" fillId="0" borderId="0" xfId="0" applyNumberFormat="1" applyFont="1"/>
    <xf numFmtId="0" fontId="6" fillId="0" borderId="0" xfId="0" applyFont="1"/>
    <xf numFmtId="169" fontId="3" fillId="0" borderId="0" xfId="0" applyNumberFormat="1" applyFont="1" applyAlignment="1" applyProtection="1">
      <alignment horizontal="right"/>
    </xf>
    <xf numFmtId="169" fontId="3" fillId="0" borderId="0" xfId="0" applyNumberFormat="1" applyFont="1" applyAlignment="1" applyProtection="1">
      <alignment horizontal="left"/>
    </xf>
    <xf numFmtId="169" fontId="3" fillId="0" borderId="0" xfId="0" applyNumberFormat="1" applyFont="1" applyProtection="1"/>
    <xf numFmtId="165" fontId="3" fillId="0" borderId="0" xfId="1" applyNumberFormat="1" applyFont="1" applyProtection="1"/>
    <xf numFmtId="0" fontId="6" fillId="0" borderId="0" xfId="0" applyFont="1" applyFill="1" applyBorder="1"/>
    <xf numFmtId="10" fontId="3" fillId="0" borderId="0" xfId="0" applyNumberFormat="1" applyFont="1" applyProtection="1"/>
    <xf numFmtId="170" fontId="3" fillId="0" borderId="0" xfId="0" applyNumberFormat="1" applyFont="1" applyProtection="1"/>
    <xf numFmtId="165" fontId="3" fillId="0" borderId="0" xfId="1" applyNumberFormat="1" applyFont="1" applyAlignment="1">
      <alignment horizontal="right"/>
    </xf>
    <xf numFmtId="43" fontId="3" fillId="0" borderId="0" xfId="1" applyNumberFormat="1" applyFont="1" applyAlignment="1" applyProtection="1">
      <alignment horizontal="right"/>
    </xf>
    <xf numFmtId="0" fontId="6" fillId="0" borderId="0" xfId="0" applyFont="1" applyFill="1" applyBorder="1" applyAlignment="1">
      <alignment horizontal="center"/>
    </xf>
    <xf numFmtId="9" fontId="6" fillId="0" borderId="0" xfId="0" applyNumberFormat="1" applyFont="1"/>
    <xf numFmtId="0" fontId="3" fillId="0" borderId="0" xfId="4" applyFont="1"/>
    <xf numFmtId="0" fontId="3" fillId="0" borderId="0" xfId="4" applyFont="1" applyFill="1" applyBorder="1"/>
    <xf numFmtId="0" fontId="4" fillId="0" borderId="0" xfId="4" applyFont="1" applyFill="1" applyBorder="1"/>
    <xf numFmtId="0" fontId="4" fillId="0" borderId="0" xfId="4" applyFont="1" applyFill="1" applyBorder="1" applyAlignment="1">
      <alignment horizontal="left" indent="1"/>
    </xf>
    <xf numFmtId="170" fontId="8" fillId="0" borderId="0" xfId="0" applyNumberFormat="1" applyFont="1" applyProtection="1"/>
    <xf numFmtId="170" fontId="8" fillId="0" borderId="0" xfId="0" applyNumberFormat="1" applyFont="1" applyAlignment="1" applyProtection="1">
      <alignment horizontal="right"/>
    </xf>
    <xf numFmtId="169" fontId="8" fillId="0" borderId="0" xfId="0" applyNumberFormat="1" applyFont="1" applyProtection="1"/>
    <xf numFmtId="3" fontId="8" fillId="0" borderId="0" xfId="0" applyNumberFormat="1" applyFont="1"/>
    <xf numFmtId="10" fontId="8" fillId="0" borderId="0" xfId="0" applyNumberFormat="1" applyFont="1"/>
    <xf numFmtId="170" fontId="8" fillId="0" borderId="0" xfId="0" applyNumberFormat="1" applyFont="1"/>
    <xf numFmtId="0" fontId="9" fillId="0" borderId="0" xfId="0" applyFont="1"/>
    <xf numFmtId="0" fontId="6" fillId="0" borderId="0" xfId="0" applyFont="1" applyAlignment="1">
      <alignment wrapText="1"/>
    </xf>
    <xf numFmtId="173" fontId="10" fillId="0" borderId="0" xfId="0" applyNumberFormat="1" applyFont="1"/>
    <xf numFmtId="169" fontId="3" fillId="0" borderId="0" xfId="0" applyNumberFormat="1" applyFont="1" applyFill="1"/>
    <xf numFmtId="10" fontId="6" fillId="0" borderId="0" xfId="0" applyNumberFormat="1" applyFont="1"/>
    <xf numFmtId="164" fontId="6" fillId="0" borderId="0" xfId="0" applyNumberFormat="1" applyFont="1"/>
    <xf numFmtId="174" fontId="6" fillId="0" borderId="0" xfId="0" applyNumberFormat="1" applyFont="1" applyAlignment="1">
      <alignment horizontal="left"/>
    </xf>
    <xf numFmtId="5" fontId="8" fillId="0" borderId="0" xfId="1" applyNumberFormat="1" applyFont="1"/>
    <xf numFmtId="175" fontId="8" fillId="0" borderId="0" xfId="0" applyNumberFormat="1" applyFont="1"/>
    <xf numFmtId="0" fontId="12" fillId="0" borderId="0" xfId="4" applyFont="1"/>
    <xf numFmtId="0" fontId="13" fillId="0" borderId="0" xfId="4" applyFont="1"/>
    <xf numFmtId="171" fontId="14" fillId="0" borderId="0" xfId="4" applyNumberFormat="1" applyFont="1"/>
    <xf numFmtId="0" fontId="12" fillId="0" borderId="0" xfId="4" applyFont="1" applyAlignment="1">
      <alignment horizontal="right"/>
    </xf>
    <xf numFmtId="170" fontId="10" fillId="0" borderId="0" xfId="5" applyNumberFormat="1" applyFont="1"/>
    <xf numFmtId="0" fontId="1" fillId="0" borderId="4" xfId="4" applyBorder="1"/>
    <xf numFmtId="0" fontId="1" fillId="0" borderId="5" xfId="4" applyBorder="1"/>
    <xf numFmtId="0" fontId="12" fillId="0" borderId="6" xfId="4" applyFont="1" applyBorder="1"/>
    <xf numFmtId="0" fontId="13" fillId="0" borderId="0" xfId="4" applyFont="1" applyBorder="1"/>
    <xf numFmtId="0" fontId="10" fillId="0" borderId="0" xfId="4" applyFont="1" applyBorder="1"/>
    <xf numFmtId="0" fontId="15" fillId="0" borderId="0" xfId="4" applyFont="1" applyBorder="1"/>
    <xf numFmtId="0" fontId="15" fillId="0" borderId="7" xfId="4" applyFont="1" applyBorder="1"/>
    <xf numFmtId="0" fontId="12" fillId="0" borderId="0" xfId="4" applyFont="1" applyBorder="1"/>
    <xf numFmtId="0" fontId="12" fillId="0" borderId="7" xfId="4" applyFont="1" applyBorder="1"/>
    <xf numFmtId="171" fontId="14" fillId="0" borderId="0" xfId="4" applyNumberFormat="1" applyFont="1" applyBorder="1"/>
    <xf numFmtId="0" fontId="12" fillId="0" borderId="8" xfId="4" applyFont="1" applyBorder="1"/>
    <xf numFmtId="0" fontId="12" fillId="0" borderId="1" xfId="4" applyFont="1" applyBorder="1"/>
    <xf numFmtId="171" fontId="14" fillId="0" borderId="1" xfId="4" applyNumberFormat="1" applyFont="1" applyBorder="1"/>
    <xf numFmtId="0" fontId="1" fillId="0" borderId="1" xfId="4" applyBorder="1"/>
    <xf numFmtId="0" fontId="16" fillId="0" borderId="10" xfId="4" applyFont="1" applyBorder="1"/>
    <xf numFmtId="0" fontId="16" fillId="0" borderId="6" xfId="4" applyFont="1" applyBorder="1"/>
    <xf numFmtId="177" fontId="1" fillId="0" borderId="0" xfId="4" applyNumberFormat="1"/>
    <xf numFmtId="0" fontId="14" fillId="0" borderId="10" xfId="4" applyFont="1" applyBorder="1"/>
    <xf numFmtId="0" fontId="14" fillId="0" borderId="5" xfId="4" applyFont="1" applyBorder="1"/>
    <xf numFmtId="0" fontId="14" fillId="0" borderId="8" xfId="4" applyFont="1" applyBorder="1"/>
    <xf numFmtId="0" fontId="15" fillId="0" borderId="4" xfId="4" applyFont="1" applyBorder="1"/>
    <xf numFmtId="170" fontId="12" fillId="0" borderId="0" xfId="5" applyNumberFormat="1" applyFont="1"/>
    <xf numFmtId="0" fontId="12" fillId="0" borderId="9" xfId="4" applyFont="1" applyBorder="1"/>
    <xf numFmtId="0" fontId="17" fillId="0" borderId="3" xfId="4" applyFont="1" applyBorder="1" applyAlignment="1"/>
    <xf numFmtId="0" fontId="17" fillId="0" borderId="1" xfId="4" applyFont="1" applyBorder="1" applyAlignment="1"/>
    <xf numFmtId="41" fontId="3" fillId="0" borderId="0" xfId="4" applyNumberFormat="1" applyFont="1" applyFill="1" applyBorder="1"/>
    <xf numFmtId="0" fontId="1" fillId="0" borderId="7" xfId="4" applyBorder="1"/>
    <xf numFmtId="169" fontId="18" fillId="0" borderId="0" xfId="0" applyNumberFormat="1" applyFont="1" applyAlignment="1" applyProtection="1">
      <alignment horizontal="left"/>
    </xf>
    <xf numFmtId="0" fontId="19" fillId="0" borderId="0" xfId="0" applyFont="1"/>
    <xf numFmtId="169" fontId="19" fillId="0" borderId="0" xfId="0" applyNumberFormat="1" applyFont="1" applyBorder="1" applyAlignment="1" applyProtection="1">
      <alignment horizontal="left"/>
    </xf>
    <xf numFmtId="169" fontId="19" fillId="0" borderId="0" xfId="0" applyNumberFormat="1" applyFont="1" applyFill="1" applyBorder="1" applyAlignment="1" applyProtection="1"/>
    <xf numFmtId="169" fontId="19" fillId="0" borderId="0" xfId="0" applyNumberFormat="1" applyFont="1" applyAlignment="1" applyProtection="1">
      <alignment horizontal="left"/>
    </xf>
    <xf numFmtId="0" fontId="20" fillId="0" borderId="0" xfId="0" applyFont="1"/>
    <xf numFmtId="169" fontId="19" fillId="0" borderId="0" xfId="0" applyNumberFormat="1" applyFont="1"/>
    <xf numFmtId="6" fontId="8" fillId="0" borderId="0" xfId="3" applyNumberFormat="1" applyFont="1" applyProtection="1"/>
    <xf numFmtId="6" fontId="19" fillId="0" borderId="0" xfId="3" applyNumberFormat="1" applyFont="1" applyAlignment="1">
      <alignment horizontal="right"/>
    </xf>
    <xf numFmtId="169" fontId="18" fillId="2" borderId="0" xfId="0" applyNumberFormat="1" applyFont="1" applyFill="1" applyBorder="1" applyAlignment="1" applyProtection="1">
      <alignment horizontal="center"/>
    </xf>
    <xf numFmtId="169" fontId="19" fillId="2" borderId="0" xfId="0" applyNumberFormat="1" applyFont="1" applyFill="1" applyBorder="1" applyAlignment="1" applyProtection="1">
      <alignment horizontal="center"/>
    </xf>
    <xf numFmtId="169" fontId="19" fillId="2" borderId="15" xfId="0" applyNumberFormat="1" applyFont="1" applyFill="1" applyBorder="1"/>
    <xf numFmtId="169" fontId="19" fillId="2" borderId="0" xfId="0" applyNumberFormat="1" applyFont="1" applyFill="1" applyBorder="1"/>
    <xf numFmtId="37" fontId="19" fillId="2" borderId="0" xfId="0" applyNumberFormat="1" applyFont="1" applyFill="1" applyBorder="1" applyAlignment="1" applyProtection="1">
      <alignment horizontal="right"/>
    </xf>
    <xf numFmtId="169" fontId="22" fillId="2" borderId="15" xfId="0" applyNumberFormat="1" applyFont="1" applyFill="1" applyBorder="1" applyAlignment="1" applyProtection="1">
      <alignment horizontal="left"/>
    </xf>
    <xf numFmtId="169" fontId="19" fillId="2" borderId="0" xfId="0" applyNumberFormat="1" applyFont="1" applyFill="1" applyBorder="1" applyAlignment="1" applyProtection="1">
      <alignment horizontal="right"/>
    </xf>
    <xf numFmtId="6" fontId="19" fillId="2" borderId="0" xfId="0" applyNumberFormat="1" applyFont="1" applyFill="1" applyBorder="1" applyAlignment="1" applyProtection="1">
      <alignment horizontal="right"/>
    </xf>
    <xf numFmtId="169" fontId="19" fillId="2" borderId="18" xfId="0" applyNumberFormat="1" applyFont="1" applyFill="1" applyBorder="1" applyAlignment="1">
      <alignment horizontal="center"/>
    </xf>
    <xf numFmtId="37" fontId="23" fillId="2" borderId="18" xfId="0" applyNumberFormat="1" applyFont="1" applyFill="1" applyBorder="1" applyAlignment="1" applyProtection="1">
      <alignment horizontal="center"/>
    </xf>
    <xf numFmtId="169" fontId="19" fillId="2" borderId="18" xfId="0" applyNumberFormat="1" applyFont="1" applyFill="1" applyBorder="1" applyAlignment="1">
      <alignment vertical="top"/>
    </xf>
    <xf numFmtId="169" fontId="18" fillId="2" borderId="15" xfId="0" applyNumberFormat="1" applyFont="1" applyFill="1" applyBorder="1" applyAlignment="1">
      <alignment horizontal="left" indent="1"/>
    </xf>
    <xf numFmtId="169" fontId="19" fillId="2" borderId="15" xfId="0" applyNumberFormat="1" applyFont="1" applyFill="1" applyBorder="1" applyAlignment="1" applyProtection="1">
      <alignment horizontal="left" indent="1"/>
    </xf>
    <xf numFmtId="169" fontId="19" fillId="2" borderId="17" xfId="0" applyNumberFormat="1" applyFont="1" applyFill="1" applyBorder="1" applyAlignment="1" applyProtection="1">
      <alignment horizontal="left" vertical="top" indent="1"/>
    </xf>
    <xf numFmtId="0" fontId="6" fillId="2" borderId="16" xfId="0" applyFont="1" applyFill="1" applyBorder="1"/>
    <xf numFmtId="0" fontId="6" fillId="2" borderId="19" xfId="0" applyFont="1" applyFill="1" applyBorder="1"/>
    <xf numFmtId="172" fontId="19" fillId="2" borderId="0" xfId="0" applyNumberFormat="1" applyFont="1" applyFill="1" applyBorder="1" applyAlignment="1" applyProtection="1">
      <alignment horizontal="right"/>
    </xf>
    <xf numFmtId="0" fontId="18" fillId="0" borderId="0" xfId="0" applyFont="1"/>
    <xf numFmtId="171" fontId="19" fillId="0" borderId="0" xfId="0" applyNumberFormat="1" applyFont="1"/>
    <xf numFmtId="170" fontId="19" fillId="0" borderId="0" xfId="0" applyNumberFormat="1" applyFont="1"/>
    <xf numFmtId="3" fontId="19" fillId="0" borderId="0" xfId="0" applyNumberFormat="1" applyFont="1"/>
    <xf numFmtId="169" fontId="18" fillId="2" borderId="0" xfId="0" applyNumberFormat="1" applyFont="1" applyFill="1" applyBorder="1" applyAlignment="1"/>
    <xf numFmtId="172" fontId="19" fillId="2" borderId="0" xfId="0" applyNumberFormat="1" applyFont="1" applyFill="1" applyBorder="1" applyAlignment="1">
      <alignment horizontal="right"/>
    </xf>
    <xf numFmtId="38" fontId="19" fillId="2" borderId="0" xfId="0" applyNumberFormat="1" applyFont="1" applyFill="1" applyBorder="1" applyAlignment="1" applyProtection="1">
      <alignment horizontal="right"/>
    </xf>
    <xf numFmtId="38" fontId="19" fillId="2" borderId="1" xfId="0" applyNumberFormat="1" applyFont="1" applyFill="1" applyBorder="1" applyAlignment="1" applyProtection="1">
      <alignment horizontal="right"/>
    </xf>
    <xf numFmtId="169" fontId="18" fillId="2" borderId="15" xfId="0" applyNumberFormat="1" applyFont="1" applyFill="1" applyBorder="1" applyAlignment="1" applyProtection="1">
      <alignment horizontal="center"/>
    </xf>
    <xf numFmtId="0" fontId="19" fillId="2" borderId="16" xfId="0" applyFont="1" applyFill="1" applyBorder="1"/>
    <xf numFmtId="169" fontId="18" fillId="2" borderId="15" xfId="0" applyNumberFormat="1" applyFont="1" applyFill="1" applyBorder="1" applyAlignment="1"/>
    <xf numFmtId="6" fontId="19" fillId="2" borderId="16" xfId="0" applyNumberFormat="1" applyFont="1" applyFill="1" applyBorder="1"/>
    <xf numFmtId="6" fontId="3" fillId="0" borderId="0" xfId="3" applyNumberFormat="1" applyFont="1" applyAlignment="1">
      <alignment horizontal="right"/>
    </xf>
    <xf numFmtId="6" fontId="3" fillId="0" borderId="0" xfId="3" applyNumberFormat="1" applyFont="1" applyProtection="1"/>
    <xf numFmtId="169" fontId="19" fillId="2" borderId="15" xfId="0" applyNumberFormat="1" applyFont="1" applyFill="1" applyBorder="1" applyAlignment="1">
      <alignment horizontal="left" indent="1"/>
    </xf>
    <xf numFmtId="37" fontId="19" fillId="2" borderId="0" xfId="0" applyNumberFormat="1" applyFont="1" applyFill="1" applyBorder="1" applyAlignment="1" applyProtection="1">
      <alignment horizontal="left" indent="1"/>
    </xf>
    <xf numFmtId="0" fontId="20" fillId="2" borderId="15" xfId="0" applyFont="1" applyFill="1" applyBorder="1" applyAlignment="1">
      <alignment horizontal="left" indent="1"/>
    </xf>
    <xf numFmtId="169" fontId="19" fillId="2" borderId="0" xfId="0" applyNumberFormat="1" applyFont="1" applyFill="1" applyBorder="1" applyAlignment="1" applyProtection="1">
      <alignment horizontal="left" indent="1"/>
    </xf>
    <xf numFmtId="6" fontId="19" fillId="2" borderId="19" xfId="0" applyNumberFormat="1" applyFont="1" applyFill="1" applyBorder="1" applyAlignment="1">
      <alignment vertical="top"/>
    </xf>
    <xf numFmtId="0" fontId="6" fillId="0" borderId="0" xfId="0" applyFont="1" applyAlignment="1">
      <alignment vertical="top"/>
    </xf>
    <xf numFmtId="172" fontId="25" fillId="2" borderId="16" xfId="0" applyNumberFormat="1" applyFont="1" applyFill="1" applyBorder="1" applyAlignment="1">
      <alignment horizontal="right"/>
    </xf>
    <xf numFmtId="0" fontId="25" fillId="2" borderId="16" xfId="0" applyFont="1" applyFill="1" applyBorder="1"/>
    <xf numFmtId="6" fontId="25" fillId="2" borderId="16" xfId="0" applyNumberFormat="1" applyFont="1" applyFill="1" applyBorder="1" applyAlignment="1" applyProtection="1">
      <alignment horizontal="right"/>
    </xf>
    <xf numFmtId="6" fontId="19" fillId="2" borderId="18" xfId="0" applyNumberFormat="1" applyFont="1" applyFill="1" applyBorder="1" applyAlignment="1" applyProtection="1">
      <alignment horizontal="right" vertical="top"/>
    </xf>
    <xf numFmtId="37" fontId="19" fillId="2" borderId="15" xfId="0" applyNumberFormat="1" applyFont="1" applyFill="1" applyBorder="1" applyAlignment="1" applyProtection="1">
      <alignment horizontal="left" indent="1"/>
    </xf>
    <xf numFmtId="38" fontId="19" fillId="2" borderId="0" xfId="1" applyNumberFormat="1" applyFont="1" applyFill="1" applyBorder="1" applyAlignment="1" applyProtection="1">
      <alignment horizontal="right"/>
    </xf>
    <xf numFmtId="38" fontId="24" fillId="2" borderId="0" xfId="1" applyNumberFormat="1" applyFont="1" applyFill="1" applyBorder="1" applyAlignment="1" applyProtection="1">
      <alignment horizontal="right"/>
      <protection hidden="1"/>
    </xf>
    <xf numFmtId="38" fontId="23" fillId="2" borderId="0" xfId="1" applyNumberFormat="1" applyFont="1" applyFill="1" applyBorder="1" applyAlignment="1" applyProtection="1">
      <alignment horizontal="right"/>
    </xf>
    <xf numFmtId="38" fontId="19" fillId="2" borderId="1" xfId="1" applyNumberFormat="1" applyFont="1" applyFill="1" applyBorder="1" applyAlignment="1" applyProtection="1">
      <alignment horizontal="right"/>
    </xf>
    <xf numFmtId="169" fontId="19" fillId="0" borderId="0" xfId="0" applyNumberFormat="1" applyFont="1" applyFill="1" applyAlignment="1" applyProtection="1">
      <alignment horizontal="left"/>
    </xf>
    <xf numFmtId="169" fontId="19" fillId="0" borderId="0" xfId="0" applyNumberFormat="1" applyFont="1" applyFill="1"/>
    <xf numFmtId="37" fontId="19" fillId="0" borderId="0" xfId="0" applyNumberFormat="1" applyFont="1" applyFill="1" applyProtection="1"/>
    <xf numFmtId="169" fontId="18" fillId="0" borderId="1" xfId="0" applyNumberFormat="1" applyFont="1" applyFill="1" applyBorder="1" applyProtection="1"/>
    <xf numFmtId="38" fontId="19" fillId="0" borderId="0" xfId="1" applyNumberFormat="1" applyFont="1" applyFill="1" applyProtection="1"/>
    <xf numFmtId="38" fontId="19" fillId="0" borderId="0" xfId="0" applyNumberFormat="1" applyFont="1" applyFill="1" applyProtection="1"/>
    <xf numFmtId="38" fontId="23" fillId="0" borderId="0" xfId="0" applyNumberFormat="1" applyFont="1" applyFill="1"/>
    <xf numFmtId="38" fontId="23" fillId="0" borderId="0" xfId="0" applyNumberFormat="1" applyFont="1" applyFill="1" applyProtection="1"/>
    <xf numFmtId="38" fontId="19" fillId="0" borderId="0" xfId="0" applyNumberFormat="1" applyFont="1" applyFill="1"/>
    <xf numFmtId="38" fontId="6" fillId="0" borderId="0" xfId="0" applyNumberFormat="1" applyFont="1"/>
    <xf numFmtId="38" fontId="19" fillId="0" borderId="0" xfId="0" applyNumberFormat="1" applyFont="1" applyFill="1" applyAlignment="1" applyProtection="1">
      <alignment horizontal="right"/>
    </xf>
    <xf numFmtId="38" fontId="19" fillId="0" borderId="0" xfId="0" applyNumberFormat="1" applyFont="1" applyAlignment="1">
      <alignment horizontal="right"/>
    </xf>
    <xf numFmtId="38" fontId="19" fillId="0" borderId="0" xfId="1" applyNumberFormat="1" applyFont="1" applyFill="1" applyAlignment="1" applyProtection="1">
      <alignment horizontal="right"/>
    </xf>
    <xf numFmtId="38" fontId="24" fillId="0" borderId="0" xfId="1" applyNumberFormat="1" applyFont="1" applyFill="1" applyBorder="1" applyAlignment="1" applyProtection="1">
      <alignment horizontal="right"/>
      <protection hidden="1"/>
    </xf>
    <xf numFmtId="38" fontId="23" fillId="0" borderId="0" xfId="1" applyNumberFormat="1" applyFont="1" applyFill="1" applyBorder="1" applyAlignment="1" applyProtection="1">
      <alignment horizontal="right"/>
    </xf>
    <xf numFmtId="38" fontId="19" fillId="0" borderId="1" xfId="1" applyNumberFormat="1" applyFont="1" applyFill="1" applyBorder="1" applyAlignment="1" applyProtection="1">
      <alignment horizontal="right"/>
    </xf>
    <xf numFmtId="0" fontId="20" fillId="0" borderId="1" xfId="0" applyFont="1" applyFill="1" applyBorder="1"/>
    <xf numFmtId="38" fontId="19" fillId="0" borderId="1" xfId="0" applyNumberFormat="1" applyFont="1" applyFill="1" applyBorder="1" applyAlignment="1" applyProtection="1">
      <alignment horizontal="right"/>
    </xf>
    <xf numFmtId="169" fontId="18" fillId="0" borderId="0" xfId="0" applyNumberFormat="1" applyFont="1" applyFill="1" applyBorder="1" applyAlignment="1"/>
    <xf numFmtId="172" fontId="19" fillId="0" borderId="0" xfId="0" applyNumberFormat="1" applyFont="1" applyFill="1" applyBorder="1" applyAlignment="1">
      <alignment horizontal="right"/>
    </xf>
    <xf numFmtId="38" fontId="19" fillId="2" borderId="1" xfId="3" applyNumberFormat="1" applyFont="1" applyFill="1" applyBorder="1" applyProtection="1"/>
    <xf numFmtId="165" fontId="19" fillId="2" borderId="0" xfId="1" applyNumberFormat="1" applyFont="1" applyFill="1" applyBorder="1"/>
    <xf numFmtId="38" fontId="19" fillId="2" borderId="0" xfId="3" applyNumberFormat="1" applyFont="1" applyFill="1" applyBorder="1" applyProtection="1"/>
    <xf numFmtId="169" fontId="20" fillId="2" borderId="15" xfId="0" applyNumberFormat="1" applyFont="1" applyFill="1" applyBorder="1" applyAlignment="1" applyProtection="1">
      <alignment horizontal="left" indent="1"/>
    </xf>
    <xf numFmtId="38" fontId="19" fillId="2" borderId="0" xfId="1" applyNumberFormat="1" applyFont="1" applyFill="1" applyBorder="1"/>
    <xf numFmtId="38" fontId="19" fillId="2" borderId="0" xfId="1" applyNumberFormat="1" applyFont="1" applyFill="1" applyBorder="1" applyProtection="1"/>
    <xf numFmtId="6" fontId="19" fillId="2" borderId="18" xfId="3" applyNumberFormat="1" applyFont="1" applyFill="1" applyBorder="1" applyAlignment="1" applyProtection="1">
      <alignment vertical="top"/>
    </xf>
    <xf numFmtId="169" fontId="26" fillId="0" borderId="1" xfId="0" applyNumberFormat="1" applyFont="1" applyFill="1" applyBorder="1" applyAlignment="1" applyProtection="1">
      <alignment horizontal="left"/>
    </xf>
    <xf numFmtId="0" fontId="19" fillId="0" borderId="1" xfId="0" applyFont="1" applyBorder="1"/>
    <xf numFmtId="38" fontId="19" fillId="0" borderId="0" xfId="0" applyNumberFormat="1" applyFont="1"/>
    <xf numFmtId="38" fontId="19" fillId="0" borderId="0" xfId="3" applyNumberFormat="1" applyFont="1" applyProtection="1"/>
    <xf numFmtId="38" fontId="19" fillId="0" borderId="1" xfId="1" applyNumberFormat="1" applyFont="1" applyBorder="1" applyProtection="1"/>
    <xf numFmtId="38" fontId="19" fillId="0" borderId="0" xfId="1" applyNumberFormat="1" applyFont="1" applyProtection="1"/>
    <xf numFmtId="38" fontId="19" fillId="0" borderId="0" xfId="1" applyNumberFormat="1" applyFont="1"/>
    <xf numFmtId="38" fontId="19" fillId="0" borderId="0" xfId="1" applyNumberFormat="1" applyFont="1" applyAlignment="1" applyProtection="1">
      <alignment horizontal="right"/>
    </xf>
    <xf numFmtId="0" fontId="18" fillId="0" borderId="0" xfId="0" applyFont="1" applyAlignment="1">
      <alignment horizontal="left"/>
    </xf>
    <xf numFmtId="169" fontId="19" fillId="2" borderId="0" xfId="0" applyNumberFormat="1" applyFont="1" applyFill="1" applyBorder="1" applyAlignment="1">
      <alignment horizontal="left" indent="1"/>
    </xf>
    <xf numFmtId="0" fontId="20" fillId="2" borderId="0" xfId="0" applyFont="1" applyFill="1" applyBorder="1" applyAlignment="1">
      <alignment horizontal="left" indent="1"/>
    </xf>
    <xf numFmtId="169" fontId="19" fillId="2" borderId="18" xfId="0" applyNumberFormat="1" applyFont="1" applyFill="1" applyBorder="1" applyAlignment="1" applyProtection="1">
      <alignment horizontal="left" vertical="top" indent="1"/>
    </xf>
    <xf numFmtId="169" fontId="19" fillId="2" borderId="0" xfId="0" applyNumberFormat="1" applyFont="1" applyFill="1" applyBorder="1" applyAlignment="1">
      <alignment horizontal="center"/>
    </xf>
    <xf numFmtId="6" fontId="19" fillId="2" borderId="4" xfId="0" applyNumberFormat="1" applyFont="1" applyFill="1" applyBorder="1" applyAlignment="1" applyProtection="1">
      <alignment horizontal="right" vertical="top"/>
    </xf>
    <xf numFmtId="0" fontId="19" fillId="2" borderId="15" xfId="0" applyFont="1" applyFill="1" applyBorder="1" applyAlignment="1">
      <alignment horizontal="left" indent="1"/>
    </xf>
    <xf numFmtId="0" fontId="6" fillId="2" borderId="0" xfId="0" applyFont="1" applyFill="1" applyBorder="1"/>
    <xf numFmtId="178" fontId="19" fillId="2" borderId="15" xfId="0" applyNumberFormat="1" applyFont="1" applyFill="1" applyBorder="1" applyAlignment="1">
      <alignment horizontal="left" indent="1"/>
    </xf>
    <xf numFmtId="0" fontId="6" fillId="2" borderId="18" xfId="0" applyFont="1" applyFill="1" applyBorder="1"/>
    <xf numFmtId="0" fontId="19" fillId="2" borderId="17" xfId="0" applyFont="1" applyFill="1" applyBorder="1" applyAlignment="1">
      <alignment horizontal="left" vertical="top" indent="1"/>
    </xf>
    <xf numFmtId="0" fontId="21" fillId="3" borderId="20" xfId="0" applyFont="1" applyFill="1" applyBorder="1" applyAlignment="1">
      <alignment horizontal="center" vertical="center" wrapText="1"/>
    </xf>
    <xf numFmtId="0" fontId="19" fillId="2" borderId="21" xfId="0" applyFont="1" applyFill="1" applyBorder="1"/>
    <xf numFmtId="0" fontId="19" fillId="2" borderId="21" xfId="0" applyFont="1" applyFill="1" applyBorder="1" applyAlignment="1">
      <alignment horizontal="center"/>
    </xf>
    <xf numFmtId="0" fontId="19" fillId="2" borderId="22" xfId="0" applyFont="1" applyFill="1" applyBorder="1"/>
    <xf numFmtId="0" fontId="7" fillId="2" borderId="0" xfId="0" applyFont="1" applyFill="1" applyBorder="1" applyAlignment="1">
      <alignment horizontal="center"/>
    </xf>
    <xf numFmtId="0" fontId="6" fillId="2" borderId="15" xfId="0" applyFont="1" applyFill="1" applyBorder="1" applyAlignment="1">
      <alignment horizontal="center"/>
    </xf>
    <xf numFmtId="0" fontId="19" fillId="2" borderId="0" xfId="0" applyFont="1" applyFill="1" applyBorder="1" applyAlignment="1">
      <alignment horizontal="center"/>
    </xf>
    <xf numFmtId="0" fontId="18" fillId="2" borderId="0" xfId="0" applyFont="1" applyFill="1" applyBorder="1" applyAlignment="1">
      <alignment horizontal="center"/>
    </xf>
    <xf numFmtId="164" fontId="19" fillId="2" borderId="0" xfId="5" applyNumberFormat="1" applyFont="1" applyFill="1" applyBorder="1" applyAlignment="1">
      <alignment horizontal="center"/>
    </xf>
    <xf numFmtId="164" fontId="19" fillId="2" borderId="18" xfId="5" applyNumberFormat="1" applyFont="1" applyFill="1" applyBorder="1" applyAlignment="1">
      <alignment horizontal="center" vertical="top"/>
    </xf>
    <xf numFmtId="0" fontId="6" fillId="2" borderId="25" xfId="0" applyFont="1" applyFill="1" applyBorder="1" applyAlignment="1">
      <alignment horizontal="center"/>
    </xf>
    <xf numFmtId="0" fontId="7" fillId="2" borderId="23" xfId="0" applyFont="1" applyFill="1" applyBorder="1" applyAlignment="1">
      <alignment horizontal="center"/>
    </xf>
    <xf numFmtId="0" fontId="6" fillId="2" borderId="24" xfId="0" applyFont="1" applyFill="1" applyBorder="1" applyAlignment="1">
      <alignment horizontal="center"/>
    </xf>
    <xf numFmtId="0" fontId="6" fillId="2" borderId="16" xfId="0" applyFont="1" applyFill="1" applyBorder="1" applyAlignment="1">
      <alignment horizontal="center"/>
    </xf>
    <xf numFmtId="0" fontId="6" fillId="2" borderId="19" xfId="0" applyFont="1" applyFill="1" applyBorder="1" applyAlignment="1">
      <alignment horizontal="center"/>
    </xf>
    <xf numFmtId="164" fontId="20" fillId="4" borderId="0" xfId="0" applyNumberFormat="1" applyFont="1" applyFill="1" applyBorder="1" applyAlignment="1">
      <alignment horizontal="center"/>
    </xf>
    <xf numFmtId="169" fontId="19" fillId="2" borderId="15" xfId="0" applyNumberFormat="1" applyFont="1" applyFill="1" applyBorder="1" applyAlignment="1">
      <alignment horizontal="center"/>
    </xf>
    <xf numFmtId="5" fontId="19" fillId="2" borderId="15" xfId="0" applyNumberFormat="1" applyFont="1" applyFill="1" applyBorder="1" applyAlignment="1" applyProtection="1">
      <alignment horizontal="center"/>
    </xf>
    <xf numFmtId="38" fontId="19" fillId="2" borderId="0" xfId="0" applyNumberFormat="1" applyFont="1" applyFill="1" applyBorder="1"/>
    <xf numFmtId="38" fontId="19" fillId="2" borderId="18" xfId="0" applyNumberFormat="1" applyFont="1" applyFill="1" applyBorder="1" applyAlignment="1" applyProtection="1">
      <alignment horizontal="right" vertical="top"/>
    </xf>
    <xf numFmtId="172" fontId="19" fillId="2" borderId="16" xfId="0" applyNumberFormat="1" applyFont="1" applyFill="1" applyBorder="1" applyAlignment="1">
      <alignment horizontal="right"/>
    </xf>
    <xf numFmtId="169" fontId="18" fillId="2" borderId="16" xfId="0" applyNumberFormat="1" applyFont="1" applyFill="1" applyBorder="1" applyAlignment="1" applyProtection="1">
      <alignment horizontal="center"/>
    </xf>
    <xf numFmtId="38" fontId="19" fillId="2" borderId="16" xfId="0" applyNumberFormat="1" applyFont="1" applyFill="1" applyBorder="1"/>
    <xf numFmtId="169" fontId="19" fillId="2" borderId="16" xfId="0" applyNumberFormat="1" applyFont="1" applyFill="1" applyBorder="1" applyAlignment="1" applyProtection="1">
      <alignment horizontal="right"/>
    </xf>
    <xf numFmtId="38" fontId="19" fillId="2" borderId="16" xfId="0" applyNumberFormat="1" applyFont="1" applyFill="1" applyBorder="1" applyAlignment="1" applyProtection="1">
      <alignment horizontal="right"/>
    </xf>
    <xf numFmtId="38" fontId="19" fillId="2" borderId="26" xfId="0" applyNumberFormat="1" applyFont="1" applyFill="1" applyBorder="1" applyAlignment="1" applyProtection="1">
      <alignment horizontal="right"/>
    </xf>
    <xf numFmtId="6" fontId="19" fillId="2" borderId="16" xfId="0" applyNumberFormat="1" applyFont="1" applyFill="1" applyBorder="1" applyAlignment="1" applyProtection="1">
      <alignment horizontal="right"/>
    </xf>
    <xf numFmtId="38" fontId="19" fillId="2" borderId="19" xfId="0" applyNumberFormat="1" applyFont="1" applyFill="1" applyBorder="1" applyAlignment="1" applyProtection="1">
      <alignment horizontal="right" vertical="top"/>
    </xf>
    <xf numFmtId="0" fontId="19" fillId="2" borderId="15" xfId="0" applyFont="1" applyFill="1" applyBorder="1"/>
    <xf numFmtId="0" fontId="6" fillId="0" borderId="0" xfId="0" applyFont="1" applyFill="1"/>
    <xf numFmtId="0" fontId="7" fillId="0" borderId="0" xfId="0" applyFont="1" applyFill="1" applyBorder="1" applyAlignment="1"/>
    <xf numFmtId="176" fontId="4" fillId="0" borderId="0" xfId="0" applyNumberFormat="1" applyFont="1" applyFill="1" applyBorder="1" applyAlignment="1">
      <alignment horizontal="center"/>
    </xf>
    <xf numFmtId="0" fontId="4" fillId="0" borderId="0" xfId="0" applyFont="1" applyFill="1" applyBorder="1" applyAlignment="1">
      <alignment horizontal="center" vertical="top" wrapText="1"/>
    </xf>
    <xf numFmtId="0" fontId="6" fillId="0" borderId="0" xfId="0" applyFont="1" applyFill="1" applyBorder="1" applyAlignment="1">
      <alignment vertical="top" wrapText="1"/>
    </xf>
    <xf numFmtId="167" fontId="3" fillId="0" borderId="0" xfId="3" applyNumberFormat="1" applyFont="1" applyFill="1" applyBorder="1" applyAlignment="1">
      <alignment horizontal="center"/>
    </xf>
    <xf numFmtId="0" fontId="19" fillId="2" borderId="0" xfId="0" applyFont="1" applyFill="1" applyBorder="1" applyAlignment="1">
      <alignment vertical="top" wrapText="1"/>
    </xf>
    <xf numFmtId="176" fontId="19" fillId="2" borderId="0" xfId="0" applyNumberFormat="1" applyFont="1" applyFill="1" applyBorder="1" applyAlignment="1">
      <alignment horizontal="center"/>
    </xf>
    <xf numFmtId="0" fontId="19" fillId="2" borderId="0" xfId="0" applyFont="1" applyFill="1" applyBorder="1" applyAlignment="1">
      <alignment horizontal="center" vertical="top" wrapText="1"/>
    </xf>
    <xf numFmtId="38" fontId="19" fillId="2" borderId="0" xfId="3" applyNumberFormat="1" applyFont="1" applyFill="1" applyBorder="1" applyAlignment="1">
      <alignment horizontal="center"/>
    </xf>
    <xf numFmtId="0" fontId="18" fillId="2" borderId="15" xfId="0" applyFont="1" applyFill="1" applyBorder="1" applyAlignment="1">
      <alignment horizontal="center"/>
    </xf>
    <xf numFmtId="0" fontId="7" fillId="2" borderId="16" xfId="0" applyFont="1" applyFill="1" applyBorder="1" applyAlignment="1"/>
    <xf numFmtId="176" fontId="4" fillId="2" borderId="16" xfId="0" applyNumberFormat="1" applyFont="1" applyFill="1" applyBorder="1" applyAlignment="1">
      <alignment horizontal="center"/>
    </xf>
    <xf numFmtId="0" fontId="4" fillId="2" borderId="16" xfId="0" applyFont="1" applyFill="1" applyBorder="1" applyAlignment="1">
      <alignment horizontal="center" vertical="top" wrapText="1"/>
    </xf>
    <xf numFmtId="0" fontId="19" fillId="2" borderId="15" xfId="0" applyFont="1" applyFill="1" applyBorder="1" applyAlignment="1">
      <alignment horizontal="center"/>
    </xf>
    <xf numFmtId="0" fontId="6" fillId="2" borderId="16" xfId="0" applyFont="1" applyFill="1" applyBorder="1" applyAlignment="1">
      <alignment vertical="top" wrapText="1"/>
    </xf>
    <xf numFmtId="167" fontId="3" fillId="2" borderId="16" xfId="3" applyNumberFormat="1" applyFont="1" applyFill="1" applyBorder="1" applyAlignment="1">
      <alignment horizontal="center"/>
    </xf>
    <xf numFmtId="0" fontId="19" fillId="2" borderId="17" xfId="0" applyFont="1" applyFill="1" applyBorder="1" applyAlignment="1">
      <alignment horizontal="center" vertical="top"/>
    </xf>
    <xf numFmtId="38" fontId="19" fillId="2" borderId="18" xfId="3" applyNumberFormat="1" applyFont="1" applyFill="1" applyBorder="1" applyAlignment="1">
      <alignment horizontal="center" vertical="top"/>
    </xf>
    <xf numFmtId="167" fontId="3" fillId="2" borderId="19" xfId="3" applyNumberFormat="1" applyFont="1" applyFill="1" applyBorder="1" applyAlignment="1">
      <alignment horizontal="center"/>
    </xf>
    <xf numFmtId="0" fontId="19" fillId="2" borderId="0" xfId="4" applyFont="1" applyFill="1" applyBorder="1"/>
    <xf numFmtId="5" fontId="19" fillId="2" borderId="0" xfId="4" applyNumberFormat="1" applyFont="1" applyFill="1" applyBorder="1"/>
    <xf numFmtId="0" fontId="19" fillId="2" borderId="0" xfId="4" applyFont="1" applyFill="1" applyBorder="1" applyAlignment="1">
      <alignment horizontal="center" vertical="center"/>
    </xf>
    <xf numFmtId="0" fontId="18" fillId="2" borderId="0" xfId="4" applyFont="1" applyFill="1" applyBorder="1" applyAlignment="1">
      <alignment horizontal="left" indent="1"/>
    </xf>
    <xf numFmtId="41" fontId="19" fillId="2" borderId="0" xfId="4" applyNumberFormat="1" applyFont="1" applyFill="1" applyBorder="1"/>
    <xf numFmtId="0" fontId="4" fillId="2" borderId="0" xfId="4" applyFont="1" applyFill="1" applyBorder="1"/>
    <xf numFmtId="38" fontId="19" fillId="2" borderId="0" xfId="4" applyNumberFormat="1" applyFont="1" applyFill="1" applyBorder="1"/>
    <xf numFmtId="38" fontId="19" fillId="2" borderId="2" xfId="4" applyNumberFormat="1" applyFont="1" applyFill="1" applyBorder="1" applyAlignment="1">
      <alignment horizontal="center" vertical="center"/>
    </xf>
    <xf numFmtId="38" fontId="19" fillId="2" borderId="0" xfId="4" applyNumberFormat="1" applyFont="1" applyFill="1" applyBorder="1" applyAlignment="1">
      <alignment horizontal="center" vertical="center"/>
    </xf>
    <xf numFmtId="0" fontId="1" fillId="0" borderId="0" xfId="4" applyFill="1"/>
    <xf numFmtId="0" fontId="4" fillId="0" borderId="0" xfId="4" applyFont="1" applyFill="1"/>
    <xf numFmtId="0" fontId="7" fillId="2" borderId="15" xfId="4" applyFont="1" applyFill="1" applyBorder="1" applyAlignment="1"/>
    <xf numFmtId="0" fontId="7" fillId="2" borderId="0" xfId="4" applyFont="1" applyFill="1" applyBorder="1" applyAlignment="1"/>
    <xf numFmtId="0" fontId="19" fillId="2" borderId="15" xfId="4" applyFont="1" applyFill="1" applyBorder="1" applyAlignment="1">
      <alignment horizontal="left"/>
    </xf>
    <xf numFmtId="0" fontId="19" fillId="2" borderId="16" xfId="4" applyFont="1" applyFill="1" applyBorder="1"/>
    <xf numFmtId="0" fontId="19" fillId="2" borderId="0" xfId="4" applyFont="1" applyFill="1" applyBorder="1" applyAlignment="1">
      <alignment horizontal="right"/>
    </xf>
    <xf numFmtId="0" fontId="19" fillId="2" borderId="15" xfId="4" applyFont="1" applyFill="1" applyBorder="1" applyAlignment="1">
      <alignment horizontal="left" indent="1"/>
    </xf>
    <xf numFmtId="0" fontId="3" fillId="2" borderId="15" xfId="4" applyFont="1" applyFill="1" applyBorder="1" applyAlignment="1">
      <alignment horizontal="left" indent="1"/>
    </xf>
    <xf numFmtId="0" fontId="24" fillId="2" borderId="15" xfId="4" applyFont="1" applyFill="1" applyBorder="1" applyAlignment="1">
      <alignment horizontal="left" indent="1"/>
    </xf>
    <xf numFmtId="0" fontId="19" fillId="2" borderId="15" xfId="4" applyFont="1" applyFill="1" applyBorder="1" applyAlignment="1">
      <alignment horizontal="left" indent="2"/>
    </xf>
    <xf numFmtId="0" fontId="3" fillId="2" borderId="17" xfId="4" applyFont="1" applyFill="1" applyBorder="1" applyAlignment="1">
      <alignment horizontal="left" vertical="top" indent="1"/>
    </xf>
    <xf numFmtId="38" fontId="19" fillId="2" borderId="0" xfId="4" applyNumberFormat="1" applyFont="1" applyFill="1" applyBorder="1" applyAlignment="1">
      <alignment horizontal="right" vertical="center"/>
    </xf>
    <xf numFmtId="38" fontId="19" fillId="2" borderId="1" xfId="4" applyNumberFormat="1" applyFont="1" applyFill="1" applyBorder="1" applyAlignment="1">
      <alignment horizontal="right" vertical="center"/>
    </xf>
    <xf numFmtId="0" fontId="1" fillId="2" borderId="16" xfId="4" applyFill="1" applyBorder="1"/>
    <xf numFmtId="0" fontId="1" fillId="2" borderId="19" xfId="4" applyFill="1" applyBorder="1"/>
    <xf numFmtId="0" fontId="19" fillId="2" borderId="1" xfId="4" applyFont="1" applyFill="1" applyBorder="1" applyAlignment="1">
      <alignment horizontal="center" vertical="center"/>
    </xf>
    <xf numFmtId="38" fontId="19" fillId="2" borderId="1" xfId="4" applyNumberFormat="1" applyFont="1" applyFill="1" applyBorder="1"/>
    <xf numFmtId="0" fontId="7" fillId="0" borderId="0" xfId="4" applyFont="1" applyFill="1" applyAlignment="1"/>
    <xf numFmtId="0" fontId="31" fillId="0" borderId="0" xfId="4" applyFont="1"/>
    <xf numFmtId="0" fontId="19" fillId="2" borderId="0" xfId="4" applyFont="1" applyFill="1" applyBorder="1" applyAlignment="1">
      <alignment horizontal="center"/>
    </xf>
    <xf numFmtId="38" fontId="19" fillId="2" borderId="0" xfId="4" applyNumberFormat="1" applyFont="1" applyFill="1" applyBorder="1" applyAlignment="1">
      <alignment horizontal="right"/>
    </xf>
    <xf numFmtId="38" fontId="19" fillId="2" borderId="3" xfId="4" applyNumberFormat="1" applyFont="1" applyFill="1" applyBorder="1" applyAlignment="1">
      <alignment horizontal="right"/>
    </xf>
    <xf numFmtId="6" fontId="19" fillId="2" borderId="0" xfId="4" applyNumberFormat="1" applyFont="1" applyFill="1" applyBorder="1" applyAlignment="1">
      <alignment horizontal="right"/>
    </xf>
    <xf numFmtId="0" fontId="19" fillId="2" borderId="16" xfId="4" applyFont="1" applyFill="1" applyBorder="1" applyAlignment="1">
      <alignment vertical="center"/>
    </xf>
    <xf numFmtId="0" fontId="32" fillId="2" borderId="16" xfId="4" applyFont="1" applyFill="1" applyBorder="1"/>
    <xf numFmtId="0" fontId="18" fillId="2" borderId="15" xfId="4" applyFont="1" applyFill="1" applyBorder="1" applyAlignment="1">
      <alignment horizontal="left" indent="1"/>
    </xf>
    <xf numFmtId="0" fontId="19" fillId="2" borderId="17" xfId="4" applyFont="1" applyFill="1" applyBorder="1" applyAlignment="1">
      <alignment horizontal="left" vertical="top" indent="1"/>
    </xf>
    <xf numFmtId="38" fontId="19" fillId="2" borderId="18" xfId="4" applyNumberFormat="1" applyFont="1" applyFill="1" applyBorder="1" applyAlignment="1">
      <alignment horizontal="right" vertical="top"/>
    </xf>
    <xf numFmtId="0" fontId="32" fillId="2" borderId="19" xfId="4" applyFont="1" applyFill="1" applyBorder="1"/>
    <xf numFmtId="0" fontId="17" fillId="0" borderId="4" xfId="4" applyFont="1" applyBorder="1" applyAlignment="1"/>
    <xf numFmtId="0" fontId="14" fillId="0" borderId="27" xfId="4" applyFont="1" applyBorder="1"/>
    <xf numFmtId="0" fontId="14" fillId="0" borderId="28" xfId="4" applyFont="1" applyBorder="1"/>
    <xf numFmtId="0" fontId="19" fillId="2" borderId="0" xfId="4" applyFont="1" applyFill="1" applyBorder="1" applyAlignment="1">
      <alignment horizontal="left" indent="1"/>
    </xf>
    <xf numFmtId="0" fontId="19" fillId="2" borderId="18" xfId="4" applyFont="1" applyFill="1" applyBorder="1" applyAlignment="1">
      <alignment horizontal="left" vertical="top" indent="1"/>
    </xf>
    <xf numFmtId="6" fontId="19" fillId="2" borderId="0" xfId="4" applyNumberFormat="1" applyFont="1" applyFill="1" applyBorder="1" applyAlignment="1">
      <alignment horizontal="center"/>
    </xf>
    <xf numFmtId="6" fontId="33" fillId="0" borderId="0" xfId="3" applyNumberFormat="1" applyFont="1" applyProtection="1"/>
    <xf numFmtId="6" fontId="34" fillId="0" borderId="0" xfId="3" applyNumberFormat="1" applyFont="1" applyAlignment="1">
      <alignment horizontal="right"/>
    </xf>
    <xf numFmtId="6" fontId="34" fillId="0" borderId="0" xfId="3" applyNumberFormat="1" applyFont="1" applyProtection="1"/>
    <xf numFmtId="166" fontId="4" fillId="0" borderId="0" xfId="0" applyNumberFormat="1" applyFont="1" applyFill="1" applyBorder="1" applyAlignment="1">
      <alignment horizontal="center"/>
    </xf>
    <xf numFmtId="168" fontId="3" fillId="0" borderId="0" xfId="1" applyNumberFormat="1" applyFont="1" applyFill="1" applyBorder="1" applyAlignment="1">
      <alignment horizontal="center"/>
    </xf>
    <xf numFmtId="166" fontId="4" fillId="0" borderId="0" xfId="0" applyNumberFormat="1" applyFont="1" applyFill="1" applyBorder="1" applyAlignment="1"/>
    <xf numFmtId="0" fontId="4" fillId="0" borderId="0" xfId="0" applyFont="1" applyFill="1" applyBorder="1" applyAlignment="1">
      <alignment vertical="top" wrapText="1"/>
    </xf>
    <xf numFmtId="0" fontId="26" fillId="0" borderId="0" xfId="0" applyFont="1"/>
    <xf numFmtId="0" fontId="26" fillId="0" borderId="0" xfId="4" applyFont="1"/>
    <xf numFmtId="171" fontId="34" fillId="0" borderId="0" xfId="0" applyNumberFormat="1" applyFont="1"/>
    <xf numFmtId="169" fontId="18" fillId="0" borderId="0" xfId="0" applyNumberFormat="1" applyFont="1" applyFill="1" applyBorder="1" applyAlignment="1" applyProtection="1">
      <alignment horizontal="center"/>
    </xf>
    <xf numFmtId="38" fontId="19" fillId="0" borderId="0" xfId="0" applyNumberFormat="1" applyFont="1" applyFill="1" applyBorder="1"/>
    <xf numFmtId="169" fontId="19" fillId="0" borderId="0" xfId="0" applyNumberFormat="1" applyFont="1" applyFill="1" applyBorder="1" applyAlignment="1" applyProtection="1">
      <alignment horizontal="right"/>
    </xf>
    <xf numFmtId="38" fontId="19" fillId="0" borderId="0" xfId="0" applyNumberFormat="1" applyFont="1" applyFill="1" applyBorder="1" applyAlignment="1" applyProtection="1">
      <alignment horizontal="right"/>
    </xf>
    <xf numFmtId="6" fontId="19" fillId="0" borderId="0" xfId="0" applyNumberFormat="1" applyFont="1" applyFill="1" applyBorder="1" applyAlignment="1" applyProtection="1">
      <alignment horizontal="right"/>
    </xf>
    <xf numFmtId="0" fontId="21" fillId="0" borderId="0" xfId="0" applyFont="1" applyFill="1" applyBorder="1" applyAlignment="1">
      <alignment vertical="center" wrapText="1"/>
    </xf>
    <xf numFmtId="169" fontId="19" fillId="0" borderId="0" xfId="0" applyNumberFormat="1" applyFont="1" applyFill="1" applyBorder="1" applyAlignment="1">
      <alignment horizontal="center"/>
    </xf>
    <xf numFmtId="5" fontId="19" fillId="0" borderId="0" xfId="0" applyNumberFormat="1" applyFont="1" applyFill="1" applyBorder="1" applyAlignment="1" applyProtection="1">
      <alignment horizontal="center"/>
    </xf>
    <xf numFmtId="169" fontId="19" fillId="0" borderId="0" xfId="0" applyNumberFormat="1" applyFont="1" applyFill="1" applyBorder="1" applyAlignment="1" applyProtection="1">
      <alignment horizontal="left" indent="1"/>
    </xf>
    <xf numFmtId="169" fontId="19" fillId="0" borderId="0" xfId="0" applyNumberFormat="1" applyFont="1" applyFill="1" applyBorder="1" applyAlignment="1" applyProtection="1">
      <alignment horizontal="left" vertical="top" indent="1"/>
    </xf>
    <xf numFmtId="38" fontId="19" fillId="0" borderId="0" xfId="0" applyNumberFormat="1" applyFont="1" applyFill="1" applyBorder="1" applyAlignment="1" applyProtection="1">
      <alignment horizontal="right" vertical="top"/>
    </xf>
    <xf numFmtId="0" fontId="18" fillId="0" borderId="6" xfId="4" applyFont="1" applyFill="1" applyBorder="1"/>
    <xf numFmtId="0" fontId="19" fillId="0" borderId="0" xfId="4" applyFont="1" applyFill="1" applyBorder="1" applyAlignment="1">
      <alignment horizontal="left"/>
    </xf>
    <xf numFmtId="0" fontId="19" fillId="0" borderId="0" xfId="4" applyFont="1" applyFill="1" applyBorder="1"/>
    <xf numFmtId="0" fontId="19" fillId="0" borderId="7" xfId="4" applyFont="1" applyFill="1" applyBorder="1"/>
    <xf numFmtId="0" fontId="24" fillId="0" borderId="0" xfId="4" applyFont="1" applyFill="1" applyBorder="1" applyAlignment="1">
      <alignment horizontal="left"/>
    </xf>
    <xf numFmtId="0" fontId="19" fillId="0" borderId="0" xfId="4" applyFont="1" applyFill="1" applyBorder="1" applyAlignment="1">
      <alignment horizontal="right"/>
    </xf>
    <xf numFmtId="5" fontId="19" fillId="0" borderId="0" xfId="4" applyNumberFormat="1" applyFont="1" applyFill="1" applyBorder="1"/>
    <xf numFmtId="0" fontId="19" fillId="0" borderId="0" xfId="4" applyFont="1" applyFill="1" applyBorder="1" applyAlignment="1">
      <alignment horizontal="center" vertical="center"/>
    </xf>
    <xf numFmtId="0" fontId="19" fillId="0" borderId="7" xfId="4" applyFont="1" applyFill="1" applyBorder="1" applyAlignment="1">
      <alignment horizontal="center" vertical="center"/>
    </xf>
    <xf numFmtId="0" fontId="24" fillId="0" borderId="0" xfId="4" applyFont="1" applyFill="1" applyBorder="1"/>
    <xf numFmtId="0" fontId="19" fillId="0" borderId="0" xfId="4" applyFont="1" applyFill="1" applyBorder="1" applyAlignment="1">
      <alignment horizontal="left" indent="1"/>
    </xf>
    <xf numFmtId="41" fontId="19" fillId="0" borderId="0" xfId="4" applyNumberFormat="1" applyFont="1" applyFill="1" applyBorder="1" applyAlignment="1">
      <alignment horizontal="center" vertical="center"/>
    </xf>
    <xf numFmtId="41" fontId="19" fillId="0" borderId="7" xfId="4" applyNumberFormat="1" applyFont="1" applyFill="1" applyBorder="1" applyAlignment="1">
      <alignment horizontal="center" vertical="center"/>
    </xf>
    <xf numFmtId="41" fontId="19" fillId="0" borderId="2" xfId="4" applyNumberFormat="1" applyFont="1" applyFill="1" applyBorder="1" applyAlignment="1">
      <alignment horizontal="center" vertical="center"/>
    </xf>
    <xf numFmtId="41" fontId="19" fillId="0" borderId="11" xfId="4" applyNumberFormat="1" applyFont="1" applyFill="1" applyBorder="1" applyAlignment="1">
      <alignment horizontal="center" vertical="center"/>
    </xf>
    <xf numFmtId="41" fontId="19" fillId="0" borderId="1" xfId="4" applyNumberFormat="1" applyFont="1" applyFill="1" applyBorder="1" applyAlignment="1">
      <alignment horizontal="center" vertical="center"/>
    </xf>
    <xf numFmtId="41" fontId="19" fillId="0" borderId="9" xfId="4" applyNumberFormat="1" applyFont="1" applyFill="1" applyBorder="1" applyAlignment="1">
      <alignment horizontal="center" vertical="center"/>
    </xf>
    <xf numFmtId="0" fontId="18" fillId="0" borderId="0" xfId="4" applyFont="1" applyFill="1" applyBorder="1" applyAlignment="1">
      <alignment horizontal="left"/>
    </xf>
    <xf numFmtId="0" fontId="18" fillId="0" borderId="6" xfId="4" applyFont="1" applyFill="1" applyBorder="1" applyAlignment="1">
      <alignment horizontal="left"/>
    </xf>
    <xf numFmtId="0" fontId="18" fillId="0" borderId="8" xfId="4" applyFont="1" applyFill="1" applyBorder="1"/>
    <xf numFmtId="0" fontId="19" fillId="0" borderId="1" xfId="4" applyFont="1" applyFill="1" applyBorder="1" applyAlignment="1">
      <alignment horizontal="left" indent="1"/>
    </xf>
    <xf numFmtId="5" fontId="19" fillId="0" borderId="1" xfId="4" applyNumberFormat="1" applyFont="1" applyFill="1" applyBorder="1" applyAlignment="1">
      <alignment horizontal="center" vertical="center"/>
    </xf>
    <xf numFmtId="0" fontId="32" fillId="0" borderId="0" xfId="4" applyFont="1"/>
    <xf numFmtId="0" fontId="20" fillId="0" borderId="0" xfId="4" applyFont="1" applyAlignment="1">
      <alignment horizontal="right"/>
    </xf>
    <xf numFmtId="0" fontId="32" fillId="0" borderId="4" xfId="4" applyFont="1" applyBorder="1"/>
    <xf numFmtId="0" fontId="37" fillId="0" borderId="3" xfId="4" applyFont="1" applyBorder="1" applyAlignment="1"/>
    <xf numFmtId="0" fontId="32" fillId="0" borderId="5" xfId="4" applyFont="1" applyBorder="1"/>
    <xf numFmtId="0" fontId="20" fillId="0" borderId="0" xfId="4" applyFont="1" applyBorder="1"/>
    <xf numFmtId="0" fontId="20" fillId="0" borderId="10" xfId="4" applyFont="1" applyBorder="1"/>
    <xf numFmtId="0" fontId="20" fillId="0" borderId="5" xfId="4" applyFont="1" applyBorder="1"/>
    <xf numFmtId="0" fontId="20" fillId="0" borderId="7" xfId="4" applyFont="1" applyBorder="1"/>
    <xf numFmtId="0" fontId="20" fillId="0" borderId="8" xfId="4" applyFont="1" applyBorder="1"/>
    <xf numFmtId="0" fontId="20" fillId="0" borderId="9" xfId="4" applyFont="1" applyBorder="1"/>
    <xf numFmtId="0" fontId="20" fillId="0" borderId="4" xfId="4" applyFont="1" applyBorder="1"/>
    <xf numFmtId="0" fontId="37" fillId="0" borderId="1" xfId="4" applyFont="1" applyBorder="1" applyAlignment="1"/>
    <xf numFmtId="0" fontId="20" fillId="0" borderId="0" xfId="4" applyFont="1" applyBorder="1" applyAlignment="1">
      <alignment horizontal="right"/>
    </xf>
    <xf numFmtId="171" fontId="20" fillId="0" borderId="0" xfId="4" applyNumberFormat="1" applyFont="1" applyBorder="1"/>
    <xf numFmtId="171" fontId="20" fillId="0" borderId="7" xfId="4" applyNumberFormat="1" applyFont="1" applyBorder="1"/>
    <xf numFmtId="0" fontId="32" fillId="0" borderId="1" xfId="4" applyFont="1" applyBorder="1"/>
    <xf numFmtId="171" fontId="20" fillId="0" borderId="1" xfId="4" applyNumberFormat="1" applyFont="1" applyBorder="1"/>
    <xf numFmtId="0" fontId="20" fillId="0" borderId="1" xfId="4" applyFont="1" applyBorder="1"/>
    <xf numFmtId="171" fontId="20" fillId="0" borderId="9" xfId="4" applyNumberFormat="1" applyFont="1" applyBorder="1"/>
    <xf numFmtId="0" fontId="38" fillId="0" borderId="6" xfId="4" applyFont="1" applyBorder="1"/>
    <xf numFmtId="0" fontId="20" fillId="0" borderId="6" xfId="4" applyFont="1" applyBorder="1"/>
    <xf numFmtId="171" fontId="20" fillId="0" borderId="0" xfId="4" applyNumberFormat="1" applyFont="1"/>
    <xf numFmtId="0" fontId="20" fillId="0" borderId="0" xfId="4" applyFont="1"/>
    <xf numFmtId="170" fontId="20" fillId="0" borderId="0" xfId="5" applyNumberFormat="1" applyFont="1"/>
    <xf numFmtId="0" fontId="11" fillId="0" borderId="0" xfId="4" applyFont="1" applyFill="1"/>
    <xf numFmtId="0" fontId="14" fillId="0" borderId="9" xfId="4" applyFont="1" applyBorder="1"/>
    <xf numFmtId="38" fontId="19" fillId="0" borderId="0" xfId="1" applyNumberFormat="1" applyFont="1" applyBorder="1" applyProtection="1"/>
    <xf numFmtId="38" fontId="19" fillId="0" borderId="1" xfId="1" applyNumberFormat="1" applyFont="1" applyBorder="1"/>
    <xf numFmtId="38" fontId="19" fillId="0" borderId="1" xfId="1" applyNumberFormat="1" applyFont="1" applyBorder="1" applyAlignment="1" applyProtection="1">
      <alignment horizontal="right"/>
    </xf>
    <xf numFmtId="169" fontId="18" fillId="0" borderId="0" xfId="0" applyNumberFormat="1" applyFont="1"/>
    <xf numFmtId="0" fontId="39" fillId="0" borderId="0" xfId="0" applyFont="1"/>
    <xf numFmtId="38" fontId="18" fillId="0" borderId="0" xfId="1" applyNumberFormat="1" applyFont="1" applyAlignment="1" applyProtection="1">
      <alignment horizontal="right"/>
    </xf>
    <xf numFmtId="38" fontId="40" fillId="0" borderId="0" xfId="0" applyNumberFormat="1" applyFont="1"/>
    <xf numFmtId="10" fontId="20" fillId="0" borderId="0" xfId="4" applyNumberFormat="1" applyFont="1"/>
    <xf numFmtId="180" fontId="20" fillId="0" borderId="0" xfId="4" applyNumberFormat="1" applyFont="1"/>
    <xf numFmtId="170" fontId="26" fillId="0" borderId="0" xfId="5" applyNumberFormat="1" applyFont="1"/>
    <xf numFmtId="5" fontId="20" fillId="0" borderId="0" xfId="4" applyNumberFormat="1" applyFont="1"/>
    <xf numFmtId="0" fontId="19" fillId="0" borderId="29" xfId="4" applyFont="1" applyFill="1" applyBorder="1" applyAlignment="1">
      <alignment horizontal="center" vertical="center"/>
    </xf>
    <xf numFmtId="6" fontId="18" fillId="2" borderId="30" xfId="4" applyNumberFormat="1" applyFont="1" applyFill="1" applyBorder="1" applyAlignment="1">
      <alignment horizontal="center" vertical="center"/>
    </xf>
    <xf numFmtId="0" fontId="0" fillId="5" borderId="0" xfId="0" applyFill="1"/>
    <xf numFmtId="6" fontId="19" fillId="6" borderId="0" xfId="0" applyNumberFormat="1" applyFont="1" applyFill="1" applyBorder="1" applyAlignment="1" applyProtection="1">
      <alignment horizontal="right"/>
    </xf>
    <xf numFmtId="10" fontId="19" fillId="6" borderId="18" xfId="0" applyNumberFormat="1" applyFont="1" applyFill="1" applyBorder="1" applyAlignment="1" applyProtection="1">
      <alignment horizontal="center" vertical="top"/>
    </xf>
    <xf numFmtId="38" fontId="19" fillId="6" borderId="1" xfId="0" applyNumberFormat="1" applyFont="1" applyFill="1" applyBorder="1" applyAlignment="1" applyProtection="1">
      <alignment horizontal="right"/>
    </xf>
    <xf numFmtId="6" fontId="19" fillId="6" borderId="0" xfId="0" applyNumberFormat="1" applyFont="1" applyFill="1" applyBorder="1" applyAlignment="1">
      <alignment horizontal="left"/>
    </xf>
    <xf numFmtId="10" fontId="19" fillId="6" borderId="18" xfId="0" applyNumberFormat="1" applyFont="1" applyFill="1" applyBorder="1" applyAlignment="1">
      <alignment horizontal="left" vertical="top"/>
    </xf>
    <xf numFmtId="38" fontId="19" fillId="6" borderId="1" xfId="3" applyNumberFormat="1" applyFont="1" applyFill="1" applyBorder="1" applyProtection="1"/>
    <xf numFmtId="38" fontId="19" fillId="6" borderId="0" xfId="0" applyNumberFormat="1" applyFont="1" applyFill="1" applyBorder="1"/>
    <xf numFmtId="38" fontId="19" fillId="6" borderId="0" xfId="0" applyNumberFormat="1" applyFont="1" applyFill="1" applyBorder="1" applyAlignment="1" applyProtection="1">
      <alignment horizontal="right"/>
    </xf>
    <xf numFmtId="38" fontId="19" fillId="6" borderId="18" xfId="0" applyNumberFormat="1" applyFont="1" applyFill="1" applyBorder="1" applyAlignment="1" applyProtection="1">
      <alignment horizontal="right" vertical="top"/>
    </xf>
    <xf numFmtId="38" fontId="19" fillId="6" borderId="0" xfId="4" applyNumberFormat="1" applyFont="1" applyFill="1" applyBorder="1" applyAlignment="1">
      <alignment horizontal="right" vertical="center"/>
    </xf>
    <xf numFmtId="38" fontId="19" fillId="6" borderId="1" xfId="4" applyNumberFormat="1" applyFont="1" applyFill="1" applyBorder="1" applyAlignment="1">
      <alignment horizontal="right" vertical="center"/>
    </xf>
    <xf numFmtId="6" fontId="19" fillId="6" borderId="18" xfId="4" applyNumberFormat="1" applyFont="1" applyFill="1" applyBorder="1" applyAlignment="1">
      <alignment horizontal="right" vertical="top"/>
    </xf>
    <xf numFmtId="38" fontId="19" fillId="6" borderId="0" xfId="4" applyNumberFormat="1" applyFont="1" applyFill="1" applyBorder="1" applyAlignment="1">
      <alignment horizontal="right"/>
    </xf>
    <xf numFmtId="38" fontId="19" fillId="6" borderId="1" xfId="4" applyNumberFormat="1" applyFont="1" applyFill="1" applyBorder="1" applyAlignment="1">
      <alignment horizontal="right"/>
    </xf>
    <xf numFmtId="6" fontId="19" fillId="6" borderId="0" xfId="4" applyNumberFormat="1" applyFont="1" applyFill="1" applyBorder="1" applyAlignment="1">
      <alignment horizontal="right"/>
    </xf>
    <xf numFmtId="38" fontId="19" fillId="6" borderId="0" xfId="3" applyNumberFormat="1" applyFont="1" applyFill="1" applyBorder="1" applyAlignment="1">
      <alignment horizontal="center"/>
    </xf>
    <xf numFmtId="38" fontId="19" fillId="6" borderId="18" xfId="3" applyNumberFormat="1" applyFont="1" applyFill="1" applyBorder="1" applyAlignment="1">
      <alignment horizontal="center" vertical="top"/>
    </xf>
    <xf numFmtId="181" fontId="42" fillId="5" borderId="0" xfId="4" applyNumberFormat="1" applyFont="1" applyFill="1" applyAlignment="1">
      <alignment horizontal="left" vertical="center" indent="12"/>
    </xf>
    <xf numFmtId="0" fontId="21" fillId="3" borderId="12"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3" borderId="14" xfId="0" applyFont="1" applyFill="1" applyBorder="1" applyAlignment="1">
      <alignment horizontal="center" vertical="center" wrapText="1"/>
    </xf>
    <xf numFmtId="38" fontId="20" fillId="6" borderId="18" xfId="0" applyNumberFormat="1" applyFont="1" applyFill="1" applyBorder="1" applyAlignment="1">
      <alignment horizontal="center" wrapText="1"/>
    </xf>
    <xf numFmtId="0" fontId="41" fillId="0" borderId="0" xfId="0" applyFont="1" applyAlignment="1">
      <alignment horizontal="left" vertical="center" wrapText="1"/>
    </xf>
    <xf numFmtId="169" fontId="18" fillId="0" borderId="0" xfId="0" applyNumberFormat="1" applyFont="1" applyFill="1" applyBorder="1" applyAlignment="1">
      <alignment horizontal="center"/>
    </xf>
    <xf numFmtId="0" fontId="9" fillId="0" borderId="16" xfId="0" applyFont="1" applyBorder="1" applyAlignment="1">
      <alignment horizontal="center" vertical="center" textRotation="90"/>
    </xf>
    <xf numFmtId="38" fontId="20" fillId="6" borderId="0" xfId="0" applyNumberFormat="1" applyFont="1" applyFill="1" applyAlignment="1">
      <alignment horizontal="center" wrapText="1"/>
    </xf>
    <xf numFmtId="0" fontId="21" fillId="3" borderId="13" xfId="0" applyFont="1" applyFill="1" applyBorder="1" applyAlignment="1">
      <alignment horizontal="center" vertical="center"/>
    </xf>
    <xf numFmtId="0" fontId="21" fillId="3" borderId="14"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15" xfId="0" applyFont="1" applyFill="1" applyBorder="1" applyAlignment="1">
      <alignment horizontal="right" vertical="center" textRotation="90"/>
    </xf>
    <xf numFmtId="0" fontId="19" fillId="2" borderId="17" xfId="0" applyFont="1" applyFill="1" applyBorder="1" applyAlignment="1">
      <alignment horizontal="right" vertical="center" textRotation="90"/>
    </xf>
    <xf numFmtId="0" fontId="21" fillId="3" borderId="15"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9" fillId="2" borderId="0" xfId="0" applyFont="1" applyFill="1" applyBorder="1" applyAlignment="1">
      <alignment horizontal="center" vertical="top" wrapText="1"/>
    </xf>
    <xf numFmtId="0" fontId="19" fillId="2" borderId="0" xfId="0" applyFont="1" applyFill="1" applyBorder="1" applyAlignment="1">
      <alignment vertical="top" wrapText="1"/>
    </xf>
    <xf numFmtId="179" fontId="19" fillId="2" borderId="1" xfId="0" applyNumberFormat="1" applyFont="1" applyFill="1" applyBorder="1" applyAlignment="1">
      <alignment horizontal="center"/>
    </xf>
    <xf numFmtId="0" fontId="19" fillId="2" borderId="1" xfId="4" applyFont="1" applyFill="1" applyBorder="1" applyAlignment="1">
      <alignment horizontal="center" vertical="center"/>
    </xf>
    <xf numFmtId="0" fontId="19" fillId="2" borderId="0" xfId="4" applyFont="1" applyFill="1" applyBorder="1" applyAlignment="1">
      <alignment horizontal="center" vertical="center"/>
    </xf>
    <xf numFmtId="0" fontId="18" fillId="0" borderId="10" xfId="4" applyFont="1" applyFill="1" applyBorder="1" applyAlignment="1">
      <alignment horizontal="center"/>
    </xf>
    <xf numFmtId="0" fontId="18" fillId="0" borderId="4" xfId="4" applyFont="1" applyFill="1" applyBorder="1" applyAlignment="1">
      <alignment horizontal="center"/>
    </xf>
    <xf numFmtId="0" fontId="18" fillId="0" borderId="5" xfId="4" applyFont="1" applyFill="1" applyBorder="1" applyAlignment="1">
      <alignment horizontal="center"/>
    </xf>
    <xf numFmtId="0" fontId="18" fillId="0" borderId="6" xfId="4" applyFont="1" applyFill="1" applyBorder="1" applyAlignment="1">
      <alignment horizontal="center"/>
    </xf>
    <xf numFmtId="0" fontId="18" fillId="0" borderId="0" xfId="4" applyFont="1" applyFill="1" applyBorder="1" applyAlignment="1">
      <alignment horizontal="center"/>
    </xf>
    <xf numFmtId="0" fontId="18" fillId="0" borderId="7" xfId="4" applyFont="1" applyFill="1" applyBorder="1" applyAlignment="1">
      <alignment horizontal="center"/>
    </xf>
  </cellXfs>
  <cellStyles count="7">
    <cellStyle name="Comma" xfId="1" builtinId="3"/>
    <cellStyle name="Comma 2" xfId="2" xr:uid="{00000000-0005-0000-0000-000001000000}"/>
    <cellStyle name="Currency" xfId="3" builtinId="4"/>
    <cellStyle name="Normal" xfId="0" builtinId="0"/>
    <cellStyle name="Normal 2" xfId="4" xr:uid="{00000000-0005-0000-0000-000004000000}"/>
    <cellStyle name="Percent" xfId="5" builtinId="5"/>
    <cellStyle name="Percent 2" xfId="6" xr:uid="{00000000-0005-0000-0000-000006000000}"/>
  </cellStyles>
  <dxfs count="3">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Annual Mortgage Payment Composition for </a:t>
            </a:r>
          </a:p>
          <a:p>
            <a:pPr>
              <a:defRPr/>
            </a:pPr>
            <a:r>
              <a:rPr lang="en-US" sz="1050"/>
              <a:t>20-year Amortization at 5% Interest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50533683289589"/>
          <c:y val="0.21675925925925926"/>
          <c:w val="0.82439107611548557"/>
          <c:h val="0.59676655001458156"/>
        </c:manualLayout>
      </c:layout>
      <c:lineChart>
        <c:grouping val="standard"/>
        <c:varyColors val="0"/>
        <c:ser>
          <c:idx val="0"/>
          <c:order val="0"/>
          <c:tx>
            <c:v>Interest</c:v>
          </c:tx>
          <c:spPr>
            <a:ln w="28575" cap="rnd">
              <a:solidFill>
                <a:schemeClr val="accent1"/>
              </a:solidFill>
              <a:round/>
            </a:ln>
            <a:effectLst/>
          </c:spPr>
          <c:marker>
            <c:symbol val="none"/>
          </c:marker>
          <c:val>
            <c:numRef>
              <c:f>'Fig PIII.7-8'!$C$50:$V$50</c:f>
              <c:numCache>
                <c:formatCode>#,##0_);[Red]\(#,##0\)</c:formatCode>
                <c:ptCount val="20"/>
                <c:pt idx="0">
                  <c:v>250000</c:v>
                </c:pt>
                <c:pt idx="1">
                  <c:v>242439.35320232715</c:v>
                </c:pt>
                <c:pt idx="2">
                  <c:v>234500.67406477069</c:v>
                </c:pt>
                <c:pt idx="3">
                  <c:v>226165.0609703364</c:v>
                </c:pt>
                <c:pt idx="4">
                  <c:v>217412.6672211804</c:v>
                </c:pt>
                <c:pt idx="5">
                  <c:v>208222.65378456659</c:v>
                </c:pt>
                <c:pt idx="6">
                  <c:v>198573.13967612211</c:v>
                </c:pt>
                <c:pt idx="7">
                  <c:v>188441.14986225538</c:v>
                </c:pt>
                <c:pt idx="8">
                  <c:v>177802.56055769534</c:v>
                </c:pt>
                <c:pt idx="9">
                  <c:v>166632.04178790725</c:v>
                </c:pt>
                <c:pt idx="10">
                  <c:v>154902.99707962977</c:v>
                </c:pt>
                <c:pt idx="11">
                  <c:v>142587.50013593843</c:v>
                </c:pt>
                <c:pt idx="12">
                  <c:v>129656.22834506253</c:v>
                </c:pt>
                <c:pt idx="13">
                  <c:v>116078.39296464283</c:v>
                </c:pt>
                <c:pt idx="14">
                  <c:v>101821.66581520214</c:v>
                </c:pt>
                <c:pt idx="15">
                  <c:v>86852.102308289424</c:v>
                </c:pt>
                <c:pt idx="16">
                  <c:v>71134.06062603106</c:v>
                </c:pt>
                <c:pt idx="17">
                  <c:v>54630.116859659785</c:v>
                </c:pt>
                <c:pt idx="18">
                  <c:v>37300.975904969942</c:v>
                </c:pt>
                <c:pt idx="19">
                  <c:v>19105.37790254561</c:v>
                </c:pt>
              </c:numCache>
            </c:numRef>
          </c:val>
          <c:smooth val="0"/>
          <c:extLst>
            <c:ext xmlns:c16="http://schemas.microsoft.com/office/drawing/2014/chart" uri="{C3380CC4-5D6E-409C-BE32-E72D297353CC}">
              <c16:uniqueId val="{00000000-AFA9-47AE-AD93-F20924C69FDA}"/>
            </c:ext>
          </c:extLst>
        </c:ser>
        <c:ser>
          <c:idx val="1"/>
          <c:order val="1"/>
          <c:tx>
            <c:v>Principal</c:v>
          </c:tx>
          <c:spPr>
            <a:ln w="28575" cap="rnd">
              <a:solidFill>
                <a:schemeClr val="accent2"/>
              </a:solidFill>
              <a:round/>
            </a:ln>
            <a:effectLst/>
          </c:spPr>
          <c:marker>
            <c:symbol val="none"/>
          </c:marker>
          <c:val>
            <c:numRef>
              <c:f>'Fig PIII.7-8'!$C$51:$V$51</c:f>
              <c:numCache>
                <c:formatCode>#,##0_);[Red]\(#,##0\)</c:formatCode>
                <c:ptCount val="20"/>
                <c:pt idx="0">
                  <c:v>151212.93595345656</c:v>
                </c:pt>
                <c:pt idx="1">
                  <c:v>158773.5827511294</c:v>
                </c:pt>
                <c:pt idx="2">
                  <c:v>166712.26188868587</c:v>
                </c:pt>
                <c:pt idx="3">
                  <c:v>175047.87498312013</c:v>
                </c:pt>
                <c:pt idx="4">
                  <c:v>183800.26873227616</c:v>
                </c:pt>
                <c:pt idx="5">
                  <c:v>192990.28216889</c:v>
                </c:pt>
                <c:pt idx="6">
                  <c:v>202639.79627733448</c:v>
                </c:pt>
                <c:pt idx="7">
                  <c:v>212771.78609120121</c:v>
                </c:pt>
                <c:pt idx="8">
                  <c:v>223410.37539576131</c:v>
                </c:pt>
                <c:pt idx="9">
                  <c:v>234580.89416554931</c:v>
                </c:pt>
                <c:pt idx="10">
                  <c:v>246309.93887382682</c:v>
                </c:pt>
                <c:pt idx="11">
                  <c:v>258625.43581751816</c:v>
                </c:pt>
                <c:pt idx="12">
                  <c:v>271556.70760839403</c:v>
                </c:pt>
                <c:pt idx="13">
                  <c:v>285134.54298881372</c:v>
                </c:pt>
                <c:pt idx="14">
                  <c:v>299391.27013825445</c:v>
                </c:pt>
                <c:pt idx="15">
                  <c:v>314360.83364516718</c:v>
                </c:pt>
                <c:pt idx="16">
                  <c:v>330078.87532742554</c:v>
                </c:pt>
                <c:pt idx="17">
                  <c:v>346582.81909379683</c:v>
                </c:pt>
                <c:pt idx="18">
                  <c:v>363911.96004848665</c:v>
                </c:pt>
                <c:pt idx="19">
                  <c:v>382107.55805091094</c:v>
                </c:pt>
              </c:numCache>
            </c:numRef>
          </c:val>
          <c:smooth val="0"/>
          <c:extLst>
            <c:ext xmlns:c16="http://schemas.microsoft.com/office/drawing/2014/chart" uri="{C3380CC4-5D6E-409C-BE32-E72D297353CC}">
              <c16:uniqueId val="{00000001-AFA9-47AE-AD93-F20924C69FDA}"/>
            </c:ext>
          </c:extLst>
        </c:ser>
        <c:ser>
          <c:idx val="2"/>
          <c:order val="2"/>
          <c:tx>
            <c:v>Total</c:v>
          </c:tx>
          <c:spPr>
            <a:ln w="28575" cap="rnd">
              <a:solidFill>
                <a:schemeClr val="accent3"/>
              </a:solidFill>
              <a:round/>
            </a:ln>
            <a:effectLst/>
          </c:spPr>
          <c:marker>
            <c:symbol val="none"/>
          </c:marker>
          <c:val>
            <c:numRef>
              <c:f>'Fig PIII.7-8'!$C$52:$V$52</c:f>
              <c:numCache>
                <c:formatCode>"$"#,##0_);[Red]\("$"#,##0\)</c:formatCode>
                <c:ptCount val="20"/>
                <c:pt idx="0">
                  <c:v>401212.93595345656</c:v>
                </c:pt>
                <c:pt idx="1">
                  <c:v>401212.93595345656</c:v>
                </c:pt>
                <c:pt idx="2">
                  <c:v>401212.93595345656</c:v>
                </c:pt>
                <c:pt idx="3">
                  <c:v>401212.93595345656</c:v>
                </c:pt>
                <c:pt idx="4">
                  <c:v>401212.93595345656</c:v>
                </c:pt>
                <c:pt idx="5">
                  <c:v>401212.93595345656</c:v>
                </c:pt>
                <c:pt idx="6">
                  <c:v>401212.93595345656</c:v>
                </c:pt>
                <c:pt idx="7">
                  <c:v>401212.93595345656</c:v>
                </c:pt>
                <c:pt idx="8">
                  <c:v>401212.93595345668</c:v>
                </c:pt>
                <c:pt idx="9">
                  <c:v>401212.93595345656</c:v>
                </c:pt>
                <c:pt idx="10">
                  <c:v>401212.93595345656</c:v>
                </c:pt>
                <c:pt idx="11">
                  <c:v>401212.93595345656</c:v>
                </c:pt>
                <c:pt idx="12">
                  <c:v>401212.93595345656</c:v>
                </c:pt>
                <c:pt idx="13">
                  <c:v>401212.93595345656</c:v>
                </c:pt>
                <c:pt idx="14">
                  <c:v>401212.93595345656</c:v>
                </c:pt>
                <c:pt idx="15">
                  <c:v>401212.93595345662</c:v>
                </c:pt>
                <c:pt idx="16">
                  <c:v>401212.93595345662</c:v>
                </c:pt>
                <c:pt idx="17">
                  <c:v>401212.93595345662</c:v>
                </c:pt>
                <c:pt idx="18">
                  <c:v>401212.93595345662</c:v>
                </c:pt>
                <c:pt idx="19">
                  <c:v>401212.93595345656</c:v>
                </c:pt>
              </c:numCache>
            </c:numRef>
          </c:val>
          <c:smooth val="0"/>
          <c:extLst>
            <c:ext xmlns:c16="http://schemas.microsoft.com/office/drawing/2014/chart" uri="{C3380CC4-5D6E-409C-BE32-E72D297353CC}">
              <c16:uniqueId val="{00000002-AFA9-47AE-AD93-F20924C69FDA}"/>
            </c:ext>
          </c:extLst>
        </c:ser>
        <c:dLbls>
          <c:showLegendKey val="0"/>
          <c:showVal val="0"/>
          <c:showCatName val="0"/>
          <c:showSerName val="0"/>
          <c:showPercent val="0"/>
          <c:showBubbleSize val="0"/>
        </c:dLbls>
        <c:smooth val="0"/>
        <c:axId val="421062304"/>
        <c:axId val="421056728"/>
      </c:lineChart>
      <c:catAx>
        <c:axId val="421062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layout>
            <c:manualLayout>
              <c:xMode val="edge"/>
              <c:yMode val="edge"/>
              <c:x val="0.47374190726159232"/>
              <c:y val="0.8977770487022455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056728"/>
        <c:crosses val="autoZero"/>
        <c:auto val="1"/>
        <c:lblAlgn val="ctr"/>
        <c:lblOffset val="100"/>
        <c:noMultiLvlLbl val="0"/>
      </c:catAx>
      <c:valAx>
        <c:axId val="421056728"/>
        <c:scaling>
          <c:orientation val="minMax"/>
        </c:scaling>
        <c:delete val="0"/>
        <c:axPos val="l"/>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1062304"/>
        <c:crosses val="autoZero"/>
        <c:crossBetween val="between"/>
      </c:valAx>
      <c:spPr>
        <a:noFill/>
        <a:ln>
          <a:noFill/>
        </a:ln>
        <a:effectLst/>
      </c:spPr>
    </c:plotArea>
    <c:legend>
      <c:legendPos val="b"/>
      <c:layout>
        <c:manualLayout>
          <c:xMode val="edge"/>
          <c:yMode val="edge"/>
          <c:x val="0.254338145231846"/>
          <c:y val="0.1672448235637212"/>
          <c:w val="0.5020162550455548"/>
          <c:h val="7.861690244694256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Construction Loan Draws and Ending Balance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5499187330311201"/>
          <c:y val="0.19486118214537115"/>
          <c:w val="0.8144646896441351"/>
          <c:h val="0.69773939112692873"/>
        </c:manualLayout>
      </c:layout>
      <c:barChart>
        <c:barDir val="col"/>
        <c:grouping val="clustered"/>
        <c:varyColors val="0"/>
        <c:ser>
          <c:idx val="1"/>
          <c:order val="0"/>
          <c:tx>
            <c:v>Draws</c:v>
          </c:tx>
          <c:spPr>
            <a:solidFill>
              <a:schemeClr val="accent2"/>
            </a:solidFill>
            <a:ln>
              <a:noFill/>
            </a:ln>
            <a:effectLst/>
          </c:spPr>
          <c:invertIfNegative val="0"/>
          <c:val>
            <c:numRef>
              <c:f>'Fig PIII.14'!$E$75:$M$75</c:f>
              <c:numCache>
                <c:formatCode>#,##0_);[Red]\(#,##0\)</c:formatCode>
                <c:ptCount val="9"/>
              </c:numCache>
            </c:numRef>
          </c:val>
          <c:extLst>
            <c:ext xmlns:c16="http://schemas.microsoft.com/office/drawing/2014/chart" uri="{C3380CC4-5D6E-409C-BE32-E72D297353CC}">
              <c16:uniqueId val="{00000002-13B2-4C6C-AC4F-B4F78D6C45C7}"/>
            </c:ext>
          </c:extLst>
        </c:ser>
        <c:ser>
          <c:idx val="0"/>
          <c:order val="1"/>
          <c:tx>
            <c:v>Ending Balance</c:v>
          </c:tx>
          <c:spPr>
            <a:solidFill>
              <a:schemeClr val="accent1"/>
            </a:solidFill>
            <a:ln>
              <a:noFill/>
            </a:ln>
            <a:effectLst/>
          </c:spPr>
          <c:invertIfNegative val="0"/>
          <c:val>
            <c:numRef>
              <c:f>'Fig PIII.14'!$E$77:$M$77</c:f>
              <c:numCache>
                <c:formatCode>"$"#,##0_);[Red]\("$"#,##0\)</c:formatCode>
                <c:ptCount val="9"/>
                <c:pt idx="0" formatCode="#,##0_);[Red]\(#,##0\)">
                  <c:v>0</c:v>
                </c:pt>
              </c:numCache>
            </c:numRef>
          </c:val>
          <c:extLst>
            <c:ext xmlns:c16="http://schemas.microsoft.com/office/drawing/2014/chart" uri="{C3380CC4-5D6E-409C-BE32-E72D297353CC}">
              <c16:uniqueId val="{00000000-13B2-4C6C-AC4F-B4F78D6C45C7}"/>
            </c:ext>
          </c:extLst>
        </c:ser>
        <c:dLbls>
          <c:showLegendKey val="0"/>
          <c:showVal val="0"/>
          <c:showCatName val="0"/>
          <c:showSerName val="0"/>
          <c:showPercent val="0"/>
          <c:showBubbleSize val="0"/>
        </c:dLbls>
        <c:gapWidth val="219"/>
        <c:overlap val="-27"/>
        <c:axId val="1340210991"/>
        <c:axId val="1340220975"/>
      </c:barChart>
      <c:catAx>
        <c:axId val="1340210991"/>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0220975"/>
        <c:crosses val="autoZero"/>
        <c:auto val="1"/>
        <c:lblAlgn val="ctr"/>
        <c:lblOffset val="100"/>
        <c:noMultiLvlLbl val="0"/>
      </c:catAx>
      <c:valAx>
        <c:axId val="1340220975"/>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0210991"/>
        <c:crosses val="autoZero"/>
        <c:crossBetween val="between"/>
      </c:valAx>
      <c:spPr>
        <a:noFill/>
        <a:ln>
          <a:noFill/>
        </a:ln>
        <a:effectLst/>
      </c:spPr>
    </c:plotArea>
    <c:legend>
      <c:legendPos val="r"/>
      <c:layout>
        <c:manualLayout>
          <c:xMode val="edge"/>
          <c:yMode val="edge"/>
          <c:x val="0.2908318965309914"/>
          <c:y val="0.19060119225765249"/>
          <c:w val="0.30099671740040157"/>
          <c:h val="9.143631213047247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146716</xdr:colOff>
      <xdr:row>42</xdr:row>
      <xdr:rowOff>106362</xdr:rowOff>
    </xdr:from>
    <xdr:ext cx="6712287" cy="968983"/>
    <xdr:sp macro="" textlink="">
      <xdr:nvSpPr>
        <xdr:cNvPr id="4" name="TextBox 3">
          <a:extLst>
            <a:ext uri="{FF2B5EF4-FFF2-40B4-BE49-F238E27FC236}">
              <a16:creationId xmlns:a16="http://schemas.microsoft.com/office/drawing/2014/main" id="{F2A95CF3-2FF5-417E-A438-FF6FC092A518}"/>
            </a:ext>
          </a:extLst>
        </xdr:cNvPr>
        <xdr:cNvSpPr txBox="1"/>
      </xdr:nvSpPr>
      <xdr:spPr>
        <a:xfrm>
          <a:off x="781716" y="7773987"/>
          <a:ext cx="6712287" cy="968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800" b="0">
              <a:solidFill>
                <a:schemeClr val="bg1"/>
              </a:solidFill>
            </a:rPr>
            <a:t>Online Companion to Prerequisite</a:t>
          </a:r>
          <a:r>
            <a:rPr lang="en-US" sz="2800" b="0" baseline="0">
              <a:solidFill>
                <a:schemeClr val="bg1"/>
              </a:solidFill>
            </a:rPr>
            <a:t> III Figures </a:t>
          </a:r>
        </a:p>
        <a:p>
          <a:pPr algn="ctr"/>
          <a:r>
            <a:rPr lang="en-US" sz="2800" b="0" baseline="0">
              <a:solidFill>
                <a:schemeClr val="bg1"/>
              </a:solidFill>
            </a:rPr>
            <a:t>Amortization Fundamentals</a:t>
          </a:r>
        </a:p>
      </xdr:txBody>
    </xdr:sp>
    <xdr:clientData/>
  </xdr:oneCellAnchor>
  <xdr:twoCellAnchor>
    <xdr:from>
      <xdr:col>5</xdr:col>
      <xdr:colOff>274320</xdr:colOff>
      <xdr:row>13</xdr:row>
      <xdr:rowOff>171450</xdr:rowOff>
    </xdr:from>
    <xdr:to>
      <xdr:col>10</xdr:col>
      <xdr:colOff>281086</xdr:colOff>
      <xdr:row>41</xdr:row>
      <xdr:rowOff>114300</xdr:rowOff>
    </xdr:to>
    <xdr:sp macro="" textlink="">
      <xdr:nvSpPr>
        <xdr:cNvPr id="6" name="TextBox 5">
          <a:extLst>
            <a:ext uri="{FF2B5EF4-FFF2-40B4-BE49-F238E27FC236}">
              <a16:creationId xmlns:a16="http://schemas.microsoft.com/office/drawing/2014/main" id="{A954E664-7F77-4F39-B329-2C97F330DB9A}"/>
            </a:ext>
          </a:extLst>
        </xdr:cNvPr>
        <xdr:cNvSpPr txBox="1"/>
      </xdr:nvSpPr>
      <xdr:spPr>
        <a:xfrm>
          <a:off x="3555153" y="2537883"/>
          <a:ext cx="3287600" cy="50397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FF0000"/>
              </a:solidFill>
            </a:rPr>
            <a:t>Author's Note (also provided to students):</a:t>
          </a:r>
          <a:r>
            <a:rPr lang="en-US" sz="1050" b="1" baseline="0">
              <a:solidFill>
                <a:srgbClr val="FF0000"/>
              </a:solidFill>
            </a:rPr>
            <a:t> </a:t>
          </a:r>
          <a:r>
            <a:rPr lang="en-US" sz="1050" baseline="0">
              <a:solidFill>
                <a:srgbClr val="FF0000"/>
              </a:solidFill>
            </a:rPr>
            <a:t>It is by design that there are circular references in this file on the </a:t>
          </a:r>
          <a:r>
            <a:rPr lang="en-US" sz="1050" b="1" baseline="0">
              <a:solidFill>
                <a:srgbClr val="FF0000"/>
              </a:solidFill>
            </a:rPr>
            <a:t>Fig PIII.14 tab</a:t>
          </a:r>
          <a:r>
            <a:rPr lang="en-US" sz="1050" baseline="0">
              <a:solidFill>
                <a:srgbClr val="FF0000"/>
              </a:solidFill>
            </a:rPr>
            <a:t>.</a:t>
          </a:r>
        </a:p>
        <a:p>
          <a:endParaRPr lang="en-US" sz="1050" baseline="0">
            <a:solidFill>
              <a:srgbClr val="FF0000"/>
            </a:solidFill>
          </a:endParaRPr>
        </a:p>
        <a:p>
          <a:r>
            <a:rPr lang="en-US" sz="1050" baseline="0">
              <a:solidFill>
                <a:srgbClr val="FF0000"/>
              </a:solidFill>
            </a:rPr>
            <a:t>If, upon launching the file, Excel warns you of the presence of circular references, simply accept the warning dialog by clicking OK.</a:t>
          </a:r>
        </a:p>
        <a:p>
          <a:endParaRPr lang="en-US" sz="1050" baseline="0">
            <a:solidFill>
              <a:srgbClr val="FF0000"/>
            </a:solidFill>
          </a:endParaRPr>
        </a:p>
        <a:p>
          <a:r>
            <a:rPr lang="en-US" sz="1050" baseline="0">
              <a:solidFill>
                <a:srgbClr val="FF0000"/>
              </a:solidFill>
            </a:rPr>
            <a:t>Then, to allow the circular references to compute, change your Excel application's calculation settings by clicking the "Enable/use iterative calculation" checkbox and then save the new setting.</a:t>
          </a:r>
        </a:p>
        <a:p>
          <a:endParaRPr lang="en-US" sz="1050" baseline="0">
            <a:solidFill>
              <a:srgbClr val="FF0000"/>
            </a:solidFill>
          </a:endParaRPr>
        </a:p>
        <a:p>
          <a:r>
            <a:rPr lang="en-US" sz="1050" baseline="0">
              <a:solidFill>
                <a:srgbClr val="FF0000"/>
              </a:solidFill>
            </a:rPr>
            <a:t>If you do not get any warning from Excel, your settings are already set to enable/use iterative calculation, and there is no action required.</a:t>
          </a:r>
        </a:p>
        <a:p>
          <a:endParaRPr lang="en-US" sz="1050" baseline="0">
            <a:solidFill>
              <a:srgbClr val="FF0000"/>
            </a:solidFill>
          </a:endParaRPr>
        </a:p>
        <a:p>
          <a:r>
            <a:rPr lang="en-US" sz="1050" b="1" baseline="0">
              <a:solidFill>
                <a:srgbClr val="FF0000"/>
              </a:solidFill>
            </a:rPr>
            <a:t>To access your Excel application's calculation settings: </a:t>
          </a:r>
        </a:p>
        <a:p>
          <a:endParaRPr lang="en-US" sz="1050" baseline="0">
            <a:solidFill>
              <a:srgbClr val="FF0000"/>
            </a:solidFill>
          </a:endParaRPr>
        </a:p>
        <a:p>
          <a:r>
            <a:rPr lang="en-US" sz="1050" baseline="0">
              <a:solidFill>
                <a:srgbClr val="FF0000"/>
              </a:solidFill>
            </a:rPr>
            <a:t>On PC:</a:t>
          </a:r>
        </a:p>
        <a:p>
          <a:endParaRPr lang="en-US" sz="1050" baseline="0">
            <a:solidFill>
              <a:srgbClr val="FF0000"/>
            </a:solidFill>
          </a:endParaRPr>
        </a:p>
        <a:p>
          <a:r>
            <a:rPr lang="en-US" sz="1050" baseline="0">
              <a:solidFill>
                <a:srgbClr val="FF0000"/>
              </a:solidFill>
              <a:effectLst/>
              <a:latin typeface="+mn-lt"/>
              <a:ea typeface="+mn-ea"/>
              <a:cs typeface="+mn-cs"/>
            </a:rPr>
            <a:t>File &gt; Options  &gt; Formulas &gt; Calculation options</a:t>
          </a:r>
        </a:p>
        <a:p>
          <a:endParaRPr lang="en-US" sz="1050" baseline="0">
            <a:solidFill>
              <a:srgbClr val="FF0000"/>
            </a:solidFill>
            <a:effectLst/>
            <a:latin typeface="+mn-lt"/>
            <a:ea typeface="+mn-ea"/>
            <a:cs typeface="+mn-cs"/>
          </a:endParaRPr>
        </a:p>
        <a:p>
          <a:r>
            <a:rPr lang="en-US" sz="1050" baseline="0">
              <a:solidFill>
                <a:srgbClr val="FF0000"/>
              </a:solidFill>
              <a:effectLst/>
              <a:latin typeface="+mn-lt"/>
              <a:ea typeface="+mn-ea"/>
              <a:cs typeface="+mn-cs"/>
            </a:rPr>
            <a:t>On Mac:</a:t>
          </a:r>
        </a:p>
        <a:p>
          <a:endParaRPr lang="en-US" sz="1050">
            <a:solidFill>
              <a:srgbClr val="FF0000"/>
            </a:solidFill>
          </a:endParaRPr>
        </a:p>
        <a:p>
          <a:r>
            <a:rPr lang="en-US" sz="1050">
              <a:solidFill>
                <a:srgbClr val="FF0000"/>
              </a:solidFill>
            </a:rPr>
            <a:t>Excel &gt; Preferences</a:t>
          </a:r>
          <a:r>
            <a:rPr lang="en-US" sz="1050" baseline="0">
              <a:solidFill>
                <a:srgbClr val="FF0000"/>
              </a:solidFill>
            </a:rPr>
            <a:t> &gt; Formulas and Lists &gt; Calculation </a:t>
          </a:r>
          <a:endParaRPr lang="en-US" sz="1050">
            <a:solidFill>
              <a:srgbClr val="FF0000"/>
            </a:solidFill>
          </a:endParaRPr>
        </a:p>
      </xdr:txBody>
    </xdr:sp>
    <xdr:clientData/>
  </xdr:twoCellAnchor>
  <xdr:twoCellAnchor editAs="oneCell">
    <xdr:from>
      <xdr:col>1</xdr:col>
      <xdr:colOff>460376</xdr:colOff>
      <xdr:row>2</xdr:row>
      <xdr:rowOff>89958</xdr:rowOff>
    </xdr:from>
    <xdr:to>
      <xdr:col>11</xdr:col>
      <xdr:colOff>641812</xdr:colOff>
      <xdr:row>41</xdr:row>
      <xdr:rowOff>139174</xdr:rowOff>
    </xdr:to>
    <xdr:pic>
      <xdr:nvPicPr>
        <xdr:cNvPr id="8" name="Picture 7">
          <a:extLst>
            <a:ext uri="{FF2B5EF4-FFF2-40B4-BE49-F238E27FC236}">
              <a16:creationId xmlns:a16="http://schemas.microsoft.com/office/drawing/2014/main" id="{46EBCFBC-7C28-4280-87E3-D070BECD49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309" y="454025"/>
          <a:ext cx="6700770" cy="7148516"/>
        </a:xfrm>
        <a:prstGeom prst="rect">
          <a:avLst/>
        </a:prstGeom>
      </xdr:spPr>
    </xdr:pic>
    <xdr:clientData/>
  </xdr:twoCellAnchor>
  <xdr:twoCellAnchor>
    <xdr:from>
      <xdr:col>4</xdr:col>
      <xdr:colOff>55562</xdr:colOff>
      <xdr:row>20</xdr:row>
      <xdr:rowOff>158751</xdr:rowOff>
    </xdr:from>
    <xdr:to>
      <xdr:col>9</xdr:col>
      <xdr:colOff>62328</xdr:colOff>
      <xdr:row>44</xdr:row>
      <xdr:rowOff>70979</xdr:rowOff>
    </xdr:to>
    <xdr:sp macro="" textlink="">
      <xdr:nvSpPr>
        <xdr:cNvPr id="5" name="TextBox 4">
          <a:extLst>
            <a:ext uri="{FF2B5EF4-FFF2-40B4-BE49-F238E27FC236}">
              <a16:creationId xmlns:a16="http://schemas.microsoft.com/office/drawing/2014/main" id="{083F3095-1DD1-446E-8379-3B4331FE9D73}"/>
            </a:ext>
          </a:extLst>
        </xdr:cNvPr>
        <xdr:cNvSpPr txBox="1"/>
      </xdr:nvSpPr>
      <xdr:spPr>
        <a:xfrm>
          <a:off x="2595562" y="3810001"/>
          <a:ext cx="3181766" cy="42937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FF0000"/>
              </a:solidFill>
            </a:rPr>
            <a:t>Author's Note:</a:t>
          </a:r>
          <a:r>
            <a:rPr lang="en-US" sz="1050" b="1" baseline="0">
              <a:solidFill>
                <a:srgbClr val="FF0000"/>
              </a:solidFill>
            </a:rPr>
            <a:t> </a:t>
          </a:r>
          <a:r>
            <a:rPr lang="en-US" sz="1050" baseline="0">
              <a:solidFill>
                <a:srgbClr val="FF0000"/>
              </a:solidFill>
            </a:rPr>
            <a:t>It is by design that there will be circular references programmed in by you on tab </a:t>
          </a:r>
          <a:r>
            <a:rPr lang="en-US" sz="1050" b="1" baseline="0">
              <a:solidFill>
                <a:srgbClr val="FF0000"/>
              </a:solidFill>
            </a:rPr>
            <a:t>Fig PIII.14</a:t>
          </a:r>
          <a:r>
            <a:rPr lang="en-US" sz="1050" baseline="0">
              <a:solidFill>
                <a:srgbClr val="FF0000"/>
              </a:solidFill>
            </a:rPr>
            <a:t>.</a:t>
          </a:r>
        </a:p>
        <a:p>
          <a:endParaRPr lang="en-US" sz="1050" baseline="0">
            <a:solidFill>
              <a:srgbClr val="FF0000"/>
            </a:solidFill>
          </a:endParaRPr>
        </a:p>
        <a:p>
          <a:r>
            <a:rPr lang="en-US" sz="1050" baseline="0">
              <a:solidFill>
                <a:srgbClr val="FF0000"/>
              </a:solidFill>
            </a:rPr>
            <a:t>If Excel warns you of the presence of circular references, simply accept the warning dialog by clicking OK.</a:t>
          </a:r>
        </a:p>
        <a:p>
          <a:endParaRPr lang="en-US" sz="1050" baseline="0">
            <a:solidFill>
              <a:srgbClr val="FF0000"/>
            </a:solidFill>
          </a:endParaRPr>
        </a:p>
        <a:p>
          <a:r>
            <a:rPr lang="en-US" sz="1050" baseline="0">
              <a:solidFill>
                <a:srgbClr val="FF0000"/>
              </a:solidFill>
            </a:rPr>
            <a:t>Then, to allow the circular references to compute, change your Excel application's calculation settings by clicking the "Enable/use iterative calculation" checkbox and then save the new setting.</a:t>
          </a:r>
        </a:p>
        <a:p>
          <a:endParaRPr lang="en-US" sz="1050" baseline="0">
            <a:solidFill>
              <a:srgbClr val="FF0000"/>
            </a:solidFill>
          </a:endParaRPr>
        </a:p>
        <a:p>
          <a:r>
            <a:rPr lang="en-US" sz="1050" baseline="0">
              <a:solidFill>
                <a:srgbClr val="FF0000"/>
              </a:solidFill>
            </a:rPr>
            <a:t>If you do not get any warning from Excel, your settings are already set to enable/use iterative calculation, and there is no action required.</a:t>
          </a:r>
        </a:p>
        <a:p>
          <a:endParaRPr lang="en-US" sz="1050" baseline="0">
            <a:solidFill>
              <a:srgbClr val="FF0000"/>
            </a:solidFill>
          </a:endParaRPr>
        </a:p>
        <a:p>
          <a:r>
            <a:rPr lang="en-US" sz="1050" b="1" baseline="0">
              <a:solidFill>
                <a:srgbClr val="FF0000"/>
              </a:solidFill>
            </a:rPr>
            <a:t>To access your Excel application's calculation settings: </a:t>
          </a:r>
        </a:p>
        <a:p>
          <a:endParaRPr lang="en-US" sz="1050" baseline="0">
            <a:solidFill>
              <a:srgbClr val="FF0000"/>
            </a:solidFill>
          </a:endParaRPr>
        </a:p>
        <a:p>
          <a:r>
            <a:rPr lang="en-US" sz="1050" baseline="0">
              <a:solidFill>
                <a:srgbClr val="FF0000"/>
              </a:solidFill>
            </a:rPr>
            <a:t>On PC:</a:t>
          </a:r>
        </a:p>
        <a:p>
          <a:endParaRPr lang="en-US" sz="1050" baseline="0">
            <a:solidFill>
              <a:srgbClr val="FF0000"/>
            </a:solidFill>
          </a:endParaRPr>
        </a:p>
        <a:p>
          <a:r>
            <a:rPr lang="en-US" sz="1050" baseline="0">
              <a:solidFill>
                <a:srgbClr val="FF0000"/>
              </a:solidFill>
              <a:effectLst/>
              <a:latin typeface="+mn-lt"/>
              <a:ea typeface="+mn-ea"/>
              <a:cs typeface="+mn-cs"/>
            </a:rPr>
            <a:t>File &gt; Options  &gt; Formulas &gt; Calculation options</a:t>
          </a:r>
        </a:p>
        <a:p>
          <a:endParaRPr lang="en-US" sz="1050" baseline="0">
            <a:solidFill>
              <a:srgbClr val="FF0000"/>
            </a:solidFill>
            <a:effectLst/>
            <a:latin typeface="+mn-lt"/>
            <a:ea typeface="+mn-ea"/>
            <a:cs typeface="+mn-cs"/>
          </a:endParaRPr>
        </a:p>
        <a:p>
          <a:r>
            <a:rPr lang="en-US" sz="1050" baseline="0">
              <a:solidFill>
                <a:srgbClr val="FF0000"/>
              </a:solidFill>
              <a:effectLst/>
              <a:latin typeface="+mn-lt"/>
              <a:ea typeface="+mn-ea"/>
              <a:cs typeface="+mn-cs"/>
            </a:rPr>
            <a:t>On Mac:</a:t>
          </a:r>
        </a:p>
        <a:p>
          <a:endParaRPr lang="en-US" sz="1050">
            <a:solidFill>
              <a:srgbClr val="FF0000"/>
            </a:solidFill>
          </a:endParaRPr>
        </a:p>
        <a:p>
          <a:r>
            <a:rPr lang="en-US" sz="1050">
              <a:solidFill>
                <a:srgbClr val="FF0000"/>
              </a:solidFill>
            </a:rPr>
            <a:t>Excel &gt; Preferences</a:t>
          </a:r>
          <a:r>
            <a:rPr lang="en-US" sz="1050" baseline="0">
              <a:solidFill>
                <a:srgbClr val="FF0000"/>
              </a:solidFill>
            </a:rPr>
            <a:t> &gt; Formulas and Lists &gt; Calculation </a:t>
          </a:r>
          <a:endParaRPr lang="en-US" sz="105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426720</xdr:colOff>
      <xdr:row>35</xdr:row>
      <xdr:rowOff>124777</xdr:rowOff>
    </xdr:from>
    <xdr:to>
      <xdr:col>16</xdr:col>
      <xdr:colOff>647197</xdr:colOff>
      <xdr:row>43</xdr:row>
      <xdr:rowOff>635</xdr:rowOff>
    </xdr:to>
    <xdr:sp macro="" textlink="">
      <xdr:nvSpPr>
        <xdr:cNvPr id="2" name="Arrow: Right 1">
          <a:extLst>
            <a:ext uri="{FF2B5EF4-FFF2-40B4-BE49-F238E27FC236}">
              <a16:creationId xmlns:a16="http://schemas.microsoft.com/office/drawing/2014/main" id="{A423AD75-27BB-4E0F-817B-0D38541324BC}"/>
            </a:ext>
          </a:extLst>
        </xdr:cNvPr>
        <xdr:cNvSpPr/>
      </xdr:nvSpPr>
      <xdr:spPr>
        <a:xfrm rot="9870239">
          <a:off x="8968740" y="5771197"/>
          <a:ext cx="967237" cy="515938"/>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16</xdr:col>
      <xdr:colOff>715624</xdr:colOff>
      <xdr:row>29</xdr:row>
      <xdr:rowOff>144780</xdr:rowOff>
    </xdr:from>
    <xdr:ext cx="4711086" cy="4775199"/>
    <xdr:sp macro="" textlink="">
      <xdr:nvSpPr>
        <xdr:cNvPr id="3" name="TextBox 2">
          <a:extLst>
            <a:ext uri="{FF2B5EF4-FFF2-40B4-BE49-F238E27FC236}">
              <a16:creationId xmlns:a16="http://schemas.microsoft.com/office/drawing/2014/main" id="{A1EE71FE-E616-424B-A3C3-C8C24B824A6B}"/>
            </a:ext>
          </a:extLst>
        </xdr:cNvPr>
        <xdr:cNvSpPr txBox="1"/>
      </xdr:nvSpPr>
      <xdr:spPr>
        <a:xfrm>
          <a:off x="10004404" y="4831080"/>
          <a:ext cx="4711086" cy="4775199"/>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First,</a:t>
          </a:r>
          <a:r>
            <a:rPr lang="en-US" sz="1100" baseline="0">
              <a:solidFill>
                <a:schemeClr val="tx1">
                  <a:lumMod val="75000"/>
                  <a:lumOff val="25000"/>
                </a:schemeClr>
              </a:solidFill>
            </a:rPr>
            <a:t> fill in the </a:t>
          </a:r>
          <a:r>
            <a:rPr lang="en-US" sz="1100">
              <a:solidFill>
                <a:schemeClr val="tx1">
                  <a:lumMod val="75000"/>
                  <a:lumOff val="25000"/>
                </a:schemeClr>
              </a:solidFill>
            </a:rPr>
            <a:t>Pre-sales Revenues</a:t>
          </a:r>
          <a:r>
            <a:rPr lang="en-US" sz="1100" baseline="0">
              <a:solidFill>
                <a:schemeClr val="tx1">
                  <a:lumMod val="75000"/>
                  <a:lumOff val="25000"/>
                </a:schemeClr>
              </a:solidFill>
            </a:rPr>
            <a:t> in Year 3 Q1 (cells M43 and M44). The formula for the 2-Bedroom units is =M16*$D24, and the formula for the 3-Bedroom units is =M17*$D25.</a:t>
          </a:r>
        </a:p>
        <a:p>
          <a:endParaRPr lang="en-US" sz="1100" baseline="0">
            <a:solidFill>
              <a:schemeClr val="tx1">
                <a:lumMod val="75000"/>
                <a:lumOff val="25000"/>
              </a:schemeClr>
            </a:solidFill>
          </a:endParaRPr>
        </a:p>
        <a:p>
          <a:r>
            <a:rPr lang="en-US" sz="1100" baseline="0">
              <a:solidFill>
                <a:schemeClr val="tx1">
                  <a:lumMod val="75000"/>
                  <a:lumOff val="25000"/>
                </a:schemeClr>
              </a:solidFill>
            </a:rPr>
            <a:t>Next, fill in the Subtotal line in row 45 as the sum of rows 43 and 44.</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Then, fill in the Regular Sales Revenues in Year 3 Q1 and Q2 (cells M47:N48). The formula for the 2-Bedroom units in Quarter 1 =M20*$D24. Copy and paste that formula into the cell for Quarter 2.</a:t>
          </a:r>
        </a:p>
        <a:p>
          <a:endParaRPr lang="en-US" sz="1100" baseline="0">
            <a:solidFill>
              <a:schemeClr val="tx1">
                <a:lumMod val="75000"/>
                <a:lumOff val="25000"/>
              </a:schemeClr>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The formula for the 3-Bedroom units in Quarter 1 =M21*$D25. Copy and paste that formula into the cell for Quarter 2.</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Next, fill in the Subtotal line in row 49 as the sum of rows 47 and 48. Then, fill in the Total Revenue line in row 50 as the sum of rows 45 and 49.</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Now fill in the Sales Costs line. The formula is the Sales Costs variable in cell $D$11 * -current period's Total Revenue (we want this to calculate as a negative number).</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The row 55 Subtotal for Time 0 = D33. In the post-Time 0 periods, the formula =  sum of rows 53 and 54.</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Last, fill in the Unlevered Cash Flow line as the sum of rows 50 and 55.</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tx1"/>
              </a:solidFill>
              <a:effectLst/>
              <a:latin typeface="+mn-lt"/>
              <a:ea typeface="+mn-ea"/>
              <a:cs typeface="+mn-cs"/>
            </a:rPr>
            <a:t>The values on this tab feed into Fig PIII.14 on the next tab.</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endParaRPr lang="en-US" sz="1100" baseline="0">
            <a:solidFill>
              <a:schemeClr val="tx1">
                <a:lumMod val="75000"/>
                <a:lumOff val="25000"/>
              </a:schemeClr>
            </a:solidFill>
          </a:endParaRPr>
        </a:p>
        <a:p>
          <a:endParaRPr lang="en-US" sz="1100" baseline="0">
            <a:solidFill>
              <a:schemeClr val="tx1">
                <a:lumMod val="75000"/>
                <a:lumOff val="25000"/>
              </a:schemeClr>
            </a:solidFill>
          </a:endParaRPr>
        </a:p>
        <a:p>
          <a:endParaRPr lang="en-US" sz="1100" baseline="0">
            <a:solidFill>
              <a:schemeClr val="tx1">
                <a:lumMod val="75000"/>
                <a:lumOff val="25000"/>
              </a:schemeClr>
            </a:solidFill>
          </a:endParaRP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14</xdr:col>
      <xdr:colOff>25400</xdr:colOff>
      <xdr:row>66</xdr:row>
      <xdr:rowOff>117337</xdr:rowOff>
    </xdr:from>
    <xdr:to>
      <xdr:col>17</xdr:col>
      <xdr:colOff>44673</xdr:colOff>
      <xdr:row>72</xdr:row>
      <xdr:rowOff>82186</xdr:rowOff>
    </xdr:to>
    <xdr:sp macro="" textlink="">
      <xdr:nvSpPr>
        <xdr:cNvPr id="2" name="Arrow: Right 1">
          <a:extLst>
            <a:ext uri="{FF2B5EF4-FFF2-40B4-BE49-F238E27FC236}">
              <a16:creationId xmlns:a16="http://schemas.microsoft.com/office/drawing/2014/main" id="{00456281-22E3-438F-8BBE-13CE4CB6CE80}"/>
            </a:ext>
          </a:extLst>
        </xdr:cNvPr>
        <xdr:cNvSpPr/>
      </xdr:nvSpPr>
      <xdr:spPr>
        <a:xfrm rot="9870239">
          <a:off x="9194800" y="10651987"/>
          <a:ext cx="978123" cy="510949"/>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17</xdr:col>
      <xdr:colOff>184310</xdr:colOff>
      <xdr:row>43</xdr:row>
      <xdr:rowOff>113242</xdr:rowOff>
    </xdr:from>
    <xdr:ext cx="5052928" cy="9704917"/>
    <xdr:sp macro="" textlink="">
      <xdr:nvSpPr>
        <xdr:cNvPr id="3" name="TextBox 2">
          <a:extLst>
            <a:ext uri="{FF2B5EF4-FFF2-40B4-BE49-F238E27FC236}">
              <a16:creationId xmlns:a16="http://schemas.microsoft.com/office/drawing/2014/main" id="{C1E26FED-E1B0-48AB-B992-E74B8DB4F80D}"/>
            </a:ext>
          </a:extLst>
        </xdr:cNvPr>
        <xdr:cNvSpPr txBox="1"/>
      </xdr:nvSpPr>
      <xdr:spPr>
        <a:xfrm>
          <a:off x="10312560" y="6945842"/>
          <a:ext cx="5052928" cy="9704917"/>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en-US" sz="1100" b="1">
              <a:solidFill>
                <a:schemeClr val="tx1">
                  <a:lumMod val="75000"/>
                  <a:lumOff val="25000"/>
                </a:schemeClr>
              </a:solidFill>
              <a:latin typeface="+mn-lt"/>
              <a:ea typeface="+mn-ea"/>
              <a:cs typeface="+mn-cs"/>
            </a:rPr>
            <a:t>NOTE: </a:t>
          </a:r>
          <a:r>
            <a:rPr lang="en-US" sz="1100">
              <a:solidFill>
                <a:schemeClr val="tx1">
                  <a:lumMod val="75000"/>
                  <a:lumOff val="25000"/>
                </a:schemeClr>
              </a:solidFill>
              <a:latin typeface="+mn-lt"/>
              <a:ea typeface="+mn-ea"/>
              <a:cs typeface="+mn-cs"/>
            </a:rPr>
            <a:t>Fig PIII.13 must be filled in correctly for Fig PIII.14 to show properly.</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First, fill in the Principal Beginning Balance line in row 73. The formula for the Time 0 amount is =-E75. For the Year 1 Q1 period, the formula =-E73. For the subsequent periods, the formula = the Ending Balance (row 77) from the prior period.</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Next, fill in the line for the Remaining Drawable Debt. The formula for the Year 1 Q1 period is =MAX($E$5-F73,0)*(MAX($E73:F73)&lt;$E$5). Copy that formula once it is in the Q1 cell and paste it across the other future periods. The formula tracks how much of the loan amount remains available for draw at the beginning of each quarter. The*(MAX($E73:F73)&lt;$E$5) component of the formula tests to see if the loan has been fully drawn, and if this is true, it returns a "FALSE" result, which forces the Remaining Drawable Debt amount to be = 0.</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Then fill in the line for Draws (includes Interest). The formula for the Time 0 period is =-(E34+E6), which is the amount drawn at closing on the land. The formula for the Year 1 Q1 period is =(F74&gt;0)*MIN(-F54,F74). The (F74&gt;0) part of the formula allows the second part of the formula to come through as non-zero only if there is positive Remaining Drawable Debt. The amount that is drawn is limited to the lesser of: a) the development &amp; construction amount and b) the Remaining Drawable Debt amount. Copy that formula once it is in the Q1 cell and paste it across the other future periods. </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The next line to fill in is the Repayment row.  The formula for the Year 1 Q1 cell is =-MIN(F73+F75+F81,F51+F55+F81). Copy that formula once it is in the Q1 cell and paste it across the other future periods. The formula takes the lesser of: a) the total outstanding amount (net of any repayment of Interest in row 81) and b) the Net Revenue less any repayment of Interest.</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The Year 1 Q1 Principal Ending Balance formula is =MAX(0,F73+SUM(F75:F76)+SUM($F81:F81)). This formula adds the Beginning Balance and Draws, deducts Principal Repayment in the current period and cumulative Interest Repayment. The "MAX(0," component ensures the balance does not go negative. Copy that formula once it is in the Q1 cell and paste it across the other future periods.</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The Interest Accrual Beginning Balance in each period is = the Accrual Ending Balance from the prior period.</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The Interest amount formula in Year 1 Q1 is =((-E73+F77)/2)*($E$8/4), which is the average of a) the Time 0 Principal Beginning Balance and b) the Year 1 Q1 Ending Balance, multiplied by the quarterly equivalent of the annual interest rate. The Year 1 Q2 formula is =((F77+G77)/2)*($E$8/4), which is the average of a) the prior period Principal Ending Balance and b) current period Principal Ending Balance, multiplied by the quarterly interest rate.</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The Interest Repayment line formula for Year 1 Q1 is =-MIN(SUM(F79:F80),F51+F55). Copy that formula once it is in the Q1 cell and paste it across the other future periods.</a:t>
          </a:r>
        </a:p>
        <a:p>
          <a:pPr marL="0" indent="0"/>
          <a:endParaRPr lang="en-US" sz="1100">
            <a:solidFill>
              <a:schemeClr val="tx1">
                <a:lumMod val="75000"/>
                <a:lumOff val="25000"/>
              </a:schemeClr>
            </a:solidFill>
            <a:latin typeface="+mn-lt"/>
            <a:ea typeface="+mn-ea"/>
            <a:cs typeface="+mn-cs"/>
          </a:endParaRPr>
        </a:p>
        <a:p>
          <a:pPr marL="0" indent="0"/>
          <a:r>
            <a:rPr lang="en-US" sz="1100">
              <a:solidFill>
                <a:schemeClr val="tx1">
                  <a:lumMod val="75000"/>
                  <a:lumOff val="25000"/>
                </a:schemeClr>
              </a:solidFill>
              <a:latin typeface="+mn-lt"/>
              <a:ea typeface="+mn-ea"/>
              <a:cs typeface="+mn-cs"/>
            </a:rPr>
            <a:t>Last is the Interest Accrual Ending Balance line, whose Year 1 Q1 formula is the prior period Ending Balance plus the current period's Interest and Repayment amounts. The formula for the Year Q1 cell is =E82+SUM(F80:F81). Copy that formula once it is in the Q1 cell and paste it across the other future periods.</a:t>
          </a:r>
        </a:p>
      </xdr:txBody>
    </xdr:sp>
    <xdr:clientData/>
  </xdr:oneCellAnchor>
  <xdr:twoCellAnchor>
    <xdr:from>
      <xdr:col>16</xdr:col>
      <xdr:colOff>6047</xdr:colOff>
      <xdr:row>37</xdr:row>
      <xdr:rowOff>76516</xdr:rowOff>
    </xdr:from>
    <xdr:to>
      <xdr:col>17</xdr:col>
      <xdr:colOff>320142</xdr:colOff>
      <xdr:row>40</xdr:row>
      <xdr:rowOff>103957</xdr:rowOff>
    </xdr:to>
    <xdr:sp macro="" textlink="">
      <xdr:nvSpPr>
        <xdr:cNvPr id="4" name="Arrow: Right 3">
          <a:extLst>
            <a:ext uri="{FF2B5EF4-FFF2-40B4-BE49-F238E27FC236}">
              <a16:creationId xmlns:a16="http://schemas.microsoft.com/office/drawing/2014/main" id="{169153C0-0938-4FC0-ABE1-0426D2434940}"/>
            </a:ext>
          </a:extLst>
        </xdr:cNvPr>
        <xdr:cNvSpPr/>
      </xdr:nvSpPr>
      <xdr:spPr>
        <a:xfrm rot="9870239">
          <a:off x="9473897" y="5950266"/>
          <a:ext cx="974495" cy="503691"/>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17</xdr:col>
      <xdr:colOff>426669</xdr:colOff>
      <xdr:row>37</xdr:row>
      <xdr:rowOff>19050</xdr:rowOff>
    </xdr:from>
    <xdr:ext cx="2455778" cy="984250"/>
    <xdr:sp macro="" textlink="">
      <xdr:nvSpPr>
        <xdr:cNvPr id="5" name="TextBox 4">
          <a:extLst>
            <a:ext uri="{FF2B5EF4-FFF2-40B4-BE49-F238E27FC236}">
              <a16:creationId xmlns:a16="http://schemas.microsoft.com/office/drawing/2014/main" id="{0428EC90-7657-4BDE-B098-262916FEC4C7}"/>
            </a:ext>
          </a:extLst>
        </xdr:cNvPr>
        <xdr:cNvSpPr txBox="1"/>
      </xdr:nvSpPr>
      <xdr:spPr>
        <a:xfrm>
          <a:off x="10554919" y="5892800"/>
          <a:ext cx="2455778" cy="984250"/>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This table's</a:t>
          </a:r>
          <a:r>
            <a:rPr lang="en-US" sz="1100" baseline="0">
              <a:solidFill>
                <a:schemeClr val="tx1">
                  <a:lumMod val="75000"/>
                  <a:lumOff val="25000"/>
                </a:schemeClr>
              </a:solidFill>
            </a:rPr>
            <a:t> cells are linked to Fig PIII.13. Fig PIII.13 must be filled in correctly for this to show properly and for Fig PIII.14 below to work correctly.</a:t>
          </a:r>
          <a:endParaRPr lang="en-US">
            <a:effectLst/>
          </a:endParaRPr>
        </a:p>
        <a:p>
          <a:endParaRPr lang="en-US" sz="1100" baseline="0">
            <a:solidFill>
              <a:schemeClr val="tx1">
                <a:lumMod val="75000"/>
                <a:lumOff val="25000"/>
              </a:schemeClr>
            </a:solidFill>
          </a:endParaRPr>
        </a:p>
        <a:p>
          <a:endParaRPr lang="en-US" sz="1100" baseline="0">
            <a:solidFill>
              <a:schemeClr val="tx1">
                <a:lumMod val="75000"/>
                <a:lumOff val="25000"/>
              </a:schemeClr>
            </a:solidFill>
          </a:endParaRPr>
        </a:p>
        <a:p>
          <a:endParaRPr lang="en-US" sz="1100" baseline="0">
            <a:solidFill>
              <a:schemeClr val="tx1">
                <a:lumMod val="75000"/>
                <a:lumOff val="25000"/>
              </a:schemeClr>
            </a:solidFill>
          </a:endParaRPr>
        </a:p>
      </xdr:txBody>
    </xdr:sp>
    <xdr:clientData/>
  </xdr:oneCellAnchor>
  <xdr:twoCellAnchor>
    <xdr:from>
      <xdr:col>4</xdr:col>
      <xdr:colOff>423334</xdr:colOff>
      <xdr:row>83</xdr:row>
      <xdr:rowOff>8467</xdr:rowOff>
    </xdr:from>
    <xdr:to>
      <xdr:col>14</xdr:col>
      <xdr:colOff>88900</xdr:colOff>
      <xdr:row>104</xdr:row>
      <xdr:rowOff>88901</xdr:rowOff>
    </xdr:to>
    <xdr:sp macro="" textlink="">
      <xdr:nvSpPr>
        <xdr:cNvPr id="6" name="TextBox 5">
          <a:extLst>
            <a:ext uri="{FF2B5EF4-FFF2-40B4-BE49-F238E27FC236}">
              <a16:creationId xmlns:a16="http://schemas.microsoft.com/office/drawing/2014/main" id="{E54975A0-29CE-423A-A5B6-D75D72314E72}"/>
            </a:ext>
          </a:extLst>
        </xdr:cNvPr>
        <xdr:cNvSpPr txBox="1"/>
      </xdr:nvSpPr>
      <xdr:spPr>
        <a:xfrm>
          <a:off x="3234267" y="13089467"/>
          <a:ext cx="6002866" cy="3458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b="1">
              <a:solidFill>
                <a:srgbClr val="FF0000"/>
              </a:solidFill>
            </a:rPr>
            <a:t>Author's Note:</a:t>
          </a:r>
          <a:r>
            <a:rPr lang="en-US" sz="1050" b="1" baseline="0">
              <a:solidFill>
                <a:srgbClr val="FF0000"/>
              </a:solidFill>
            </a:rPr>
            <a:t> </a:t>
          </a:r>
          <a:r>
            <a:rPr lang="en-US" sz="1050" baseline="0">
              <a:solidFill>
                <a:srgbClr val="FF0000"/>
              </a:solidFill>
            </a:rPr>
            <a:t>It is by design that there are circular references in this file on this t</a:t>
          </a:r>
          <a:r>
            <a:rPr lang="en-US" sz="1050" b="0" baseline="0">
              <a:solidFill>
                <a:srgbClr val="FF0000"/>
              </a:solidFill>
            </a:rPr>
            <a:t>ab</a:t>
          </a:r>
          <a:r>
            <a:rPr lang="en-US" sz="1050" baseline="0">
              <a:solidFill>
                <a:srgbClr val="FF0000"/>
              </a:solidFill>
            </a:rPr>
            <a:t>.</a:t>
          </a:r>
        </a:p>
        <a:p>
          <a:endParaRPr lang="en-US" sz="1050" baseline="0">
            <a:solidFill>
              <a:srgbClr val="FF0000"/>
            </a:solidFill>
          </a:endParaRPr>
        </a:p>
        <a:p>
          <a:r>
            <a:rPr lang="en-US" sz="1050" baseline="0">
              <a:solidFill>
                <a:srgbClr val="FF0000"/>
              </a:solidFill>
            </a:rPr>
            <a:t>If Excel warns you of the presence of circular references, simply accept the warning dialog by clicking OK.</a:t>
          </a:r>
        </a:p>
        <a:p>
          <a:endParaRPr lang="en-US" sz="1050" baseline="0">
            <a:solidFill>
              <a:srgbClr val="FF0000"/>
            </a:solidFill>
          </a:endParaRPr>
        </a:p>
        <a:p>
          <a:r>
            <a:rPr lang="en-US" sz="1050" baseline="0">
              <a:solidFill>
                <a:srgbClr val="FF0000"/>
              </a:solidFill>
            </a:rPr>
            <a:t>Then, to allow the circular references to compute, change your Excel application's calculation settings by clicking the "Enable/use iterative calculation" checkbox and then save the new setting.</a:t>
          </a:r>
        </a:p>
        <a:p>
          <a:endParaRPr lang="en-US" sz="1050" baseline="0">
            <a:solidFill>
              <a:srgbClr val="FF0000"/>
            </a:solidFill>
          </a:endParaRPr>
        </a:p>
        <a:p>
          <a:r>
            <a:rPr lang="en-US" sz="1050" baseline="0">
              <a:solidFill>
                <a:srgbClr val="FF0000"/>
              </a:solidFill>
            </a:rPr>
            <a:t>If you do not get any warning from Excel, your settings are already set to enable/use iterative calculation, and there is no action required.</a:t>
          </a:r>
        </a:p>
        <a:p>
          <a:endParaRPr lang="en-US" sz="1050" baseline="0">
            <a:solidFill>
              <a:srgbClr val="FF0000"/>
            </a:solidFill>
          </a:endParaRPr>
        </a:p>
        <a:p>
          <a:r>
            <a:rPr lang="en-US" sz="1050" b="1" baseline="0">
              <a:solidFill>
                <a:srgbClr val="FF0000"/>
              </a:solidFill>
            </a:rPr>
            <a:t>To access your Excel application's calculation settings: </a:t>
          </a:r>
        </a:p>
        <a:p>
          <a:endParaRPr lang="en-US" sz="1050" baseline="0">
            <a:solidFill>
              <a:srgbClr val="FF0000"/>
            </a:solidFill>
          </a:endParaRPr>
        </a:p>
        <a:p>
          <a:r>
            <a:rPr lang="en-US" sz="1050" baseline="0">
              <a:solidFill>
                <a:srgbClr val="FF0000"/>
              </a:solidFill>
            </a:rPr>
            <a:t>On PC:</a:t>
          </a:r>
        </a:p>
        <a:p>
          <a:endParaRPr lang="en-US" sz="1050" baseline="0">
            <a:solidFill>
              <a:srgbClr val="FF0000"/>
            </a:solidFill>
          </a:endParaRPr>
        </a:p>
        <a:p>
          <a:r>
            <a:rPr lang="en-US" sz="1050" baseline="0">
              <a:solidFill>
                <a:srgbClr val="FF0000"/>
              </a:solidFill>
              <a:effectLst/>
              <a:latin typeface="+mn-lt"/>
              <a:ea typeface="+mn-ea"/>
              <a:cs typeface="+mn-cs"/>
            </a:rPr>
            <a:t>File &gt; Options  &gt; Formulas &gt; Calculation options</a:t>
          </a:r>
        </a:p>
        <a:p>
          <a:endParaRPr lang="en-US" sz="1050" baseline="0">
            <a:solidFill>
              <a:srgbClr val="FF0000"/>
            </a:solidFill>
            <a:effectLst/>
            <a:latin typeface="+mn-lt"/>
            <a:ea typeface="+mn-ea"/>
            <a:cs typeface="+mn-cs"/>
          </a:endParaRPr>
        </a:p>
        <a:p>
          <a:r>
            <a:rPr lang="en-US" sz="1050" baseline="0">
              <a:solidFill>
                <a:srgbClr val="FF0000"/>
              </a:solidFill>
              <a:effectLst/>
              <a:latin typeface="+mn-lt"/>
              <a:ea typeface="+mn-ea"/>
              <a:cs typeface="+mn-cs"/>
            </a:rPr>
            <a:t>On Mac:</a:t>
          </a:r>
        </a:p>
        <a:p>
          <a:endParaRPr lang="en-US" sz="1050">
            <a:solidFill>
              <a:srgbClr val="FF0000"/>
            </a:solidFill>
          </a:endParaRPr>
        </a:p>
        <a:p>
          <a:r>
            <a:rPr lang="en-US" sz="1050">
              <a:solidFill>
                <a:srgbClr val="FF0000"/>
              </a:solidFill>
            </a:rPr>
            <a:t>Excel &gt; Preferences</a:t>
          </a:r>
          <a:r>
            <a:rPr lang="en-US" sz="1050" baseline="0">
              <a:solidFill>
                <a:srgbClr val="FF0000"/>
              </a:solidFill>
            </a:rPr>
            <a:t> &gt; Formulas and Lists &gt; Calculation </a:t>
          </a:r>
          <a:endParaRPr lang="en-US" sz="1050">
            <a:solidFill>
              <a:srgbClr val="FF0000"/>
            </a:solidFill>
          </a:endParaRPr>
        </a:p>
      </xdr:txBody>
    </xdr:sp>
    <xdr:clientData/>
  </xdr:twoCellAnchor>
  <xdr:twoCellAnchor>
    <xdr:from>
      <xdr:col>1</xdr:col>
      <xdr:colOff>157843</xdr:colOff>
      <xdr:row>105</xdr:row>
      <xdr:rowOff>89807</xdr:rowOff>
    </xdr:from>
    <xdr:to>
      <xdr:col>7</xdr:col>
      <xdr:colOff>305707</xdr:colOff>
      <xdr:row>122</xdr:row>
      <xdr:rowOff>134256</xdr:rowOff>
    </xdr:to>
    <xdr:graphicFrame macro="">
      <xdr:nvGraphicFramePr>
        <xdr:cNvPr id="7" name="Chart 6">
          <a:extLst>
            <a:ext uri="{FF2B5EF4-FFF2-40B4-BE49-F238E27FC236}">
              <a16:creationId xmlns:a16="http://schemas.microsoft.com/office/drawing/2014/main" id="{12CF2548-87D7-4549-9E20-C14489C62F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419100</xdr:colOff>
      <xdr:row>31</xdr:row>
      <xdr:rowOff>202977</xdr:rowOff>
    </xdr:from>
    <xdr:to>
      <xdr:col>3</xdr:col>
      <xdr:colOff>214312</xdr:colOff>
      <xdr:row>39</xdr:row>
      <xdr:rowOff>112489</xdr:rowOff>
    </xdr:to>
    <xdr:sp macro="" textlink="">
      <xdr:nvSpPr>
        <xdr:cNvPr id="2" name="Arrow: Right 1">
          <a:extLst>
            <a:ext uri="{FF2B5EF4-FFF2-40B4-BE49-F238E27FC236}">
              <a16:creationId xmlns:a16="http://schemas.microsoft.com/office/drawing/2014/main" id="{33F56976-B211-4725-97AE-77F96D354655}"/>
            </a:ext>
          </a:extLst>
        </xdr:cNvPr>
        <xdr:cNvSpPr/>
      </xdr:nvSpPr>
      <xdr:spPr>
        <a:xfrm rot="15099875">
          <a:off x="1918607" y="5147813"/>
          <a:ext cx="1199469" cy="529998"/>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161925</xdr:colOff>
      <xdr:row>39</xdr:row>
      <xdr:rowOff>136298</xdr:rowOff>
    </xdr:from>
    <xdr:ext cx="2976562" cy="1125693"/>
    <xdr:sp macro="" textlink="">
      <xdr:nvSpPr>
        <xdr:cNvPr id="3" name="TextBox 2">
          <a:extLst>
            <a:ext uri="{FF2B5EF4-FFF2-40B4-BE49-F238E27FC236}">
              <a16:creationId xmlns:a16="http://schemas.microsoft.com/office/drawing/2014/main" id="{F06D9D0C-9D11-4777-ADE9-2D4F0EA6E924}"/>
            </a:ext>
          </a:extLst>
        </xdr:cNvPr>
        <xdr:cNvSpPr txBox="1"/>
      </xdr:nvSpPr>
      <xdr:spPr>
        <a:xfrm>
          <a:off x="2644775" y="6238648"/>
          <a:ext cx="2976562" cy="112569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1100">
              <a:solidFill>
                <a:schemeClr val="tx1">
                  <a:lumMod val="75000"/>
                  <a:lumOff val="25000"/>
                </a:schemeClr>
              </a:solidFill>
              <a:latin typeface="+mn-lt"/>
              <a:ea typeface="+mn-ea"/>
              <a:cs typeface="+mn-cs"/>
            </a:rPr>
            <a:t>Then fill in the formula to solve for the lender's IRR. Use the IRR function to evaluate the cash flows in cells C30 through J30 by typing =IRR( and then completing the syntax. Note that the "[guess]" element is not required -- you can simply ignore that and close the parentheses.</a:t>
          </a:r>
        </a:p>
      </xdr:txBody>
    </xdr:sp>
    <xdr:clientData/>
  </xdr:oneCellAnchor>
  <xdr:twoCellAnchor>
    <xdr:from>
      <xdr:col>10</xdr:col>
      <xdr:colOff>51320</xdr:colOff>
      <xdr:row>26</xdr:row>
      <xdr:rowOff>74703</xdr:rowOff>
    </xdr:from>
    <xdr:to>
      <xdr:col>12</xdr:col>
      <xdr:colOff>272886</xdr:colOff>
      <xdr:row>30</xdr:row>
      <xdr:rowOff>15966</xdr:rowOff>
    </xdr:to>
    <xdr:sp macro="" textlink="">
      <xdr:nvSpPr>
        <xdr:cNvPr id="4" name="Arrow: Right 3">
          <a:extLst>
            <a:ext uri="{FF2B5EF4-FFF2-40B4-BE49-F238E27FC236}">
              <a16:creationId xmlns:a16="http://schemas.microsoft.com/office/drawing/2014/main" id="{241F270A-56A7-4022-85E9-780ADD81AD3B}"/>
            </a:ext>
          </a:extLst>
        </xdr:cNvPr>
        <xdr:cNvSpPr/>
      </xdr:nvSpPr>
      <xdr:spPr>
        <a:xfrm rot="9870239">
          <a:off x="6577306" y="3950017"/>
          <a:ext cx="994451" cy="529092"/>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322263</xdr:colOff>
      <xdr:row>25</xdr:row>
      <xdr:rowOff>87086</xdr:rowOff>
    </xdr:from>
    <xdr:ext cx="2976562" cy="436786"/>
    <xdr:sp macro="" textlink="">
      <xdr:nvSpPr>
        <xdr:cNvPr id="5" name="TextBox 4">
          <a:extLst>
            <a:ext uri="{FF2B5EF4-FFF2-40B4-BE49-F238E27FC236}">
              <a16:creationId xmlns:a16="http://schemas.microsoft.com/office/drawing/2014/main" id="{3FC9FB50-122B-4255-9DA5-636DFB13736B}"/>
            </a:ext>
          </a:extLst>
        </xdr:cNvPr>
        <xdr:cNvSpPr txBox="1"/>
      </xdr:nvSpPr>
      <xdr:spPr>
        <a:xfrm>
          <a:off x="7351713" y="3947886"/>
          <a:ext cx="2976562" cy="43678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First </a:t>
          </a:r>
          <a:r>
            <a:rPr lang="en-US" sz="1100" baseline="0">
              <a:solidFill>
                <a:schemeClr val="tx1">
                  <a:lumMod val="75000"/>
                  <a:lumOff val="25000"/>
                </a:schemeClr>
              </a:solidFill>
            </a:rPr>
            <a:t>f</a:t>
          </a:r>
          <a:r>
            <a:rPr lang="en-US" sz="1100">
              <a:solidFill>
                <a:schemeClr val="tx1">
                  <a:lumMod val="75000"/>
                  <a:lumOff val="25000"/>
                </a:schemeClr>
              </a:solidFill>
            </a:rPr>
            <a:t>ill in the </a:t>
          </a:r>
          <a:r>
            <a:rPr lang="en-US" sz="1100" baseline="0">
              <a:solidFill>
                <a:schemeClr val="tx1">
                  <a:lumMod val="75000"/>
                  <a:lumOff val="25000"/>
                </a:schemeClr>
              </a:solidFill>
            </a:rPr>
            <a:t>Before-Tax Cash Flow, which is the  sum of the three lines above.</a:t>
          </a:r>
          <a:endParaRPr lang="en-US" sz="1100">
            <a:solidFill>
              <a:schemeClr val="tx1">
                <a:lumMod val="75000"/>
                <a:lumOff val="25000"/>
              </a:schemeClr>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55336</xdr:colOff>
      <xdr:row>41</xdr:row>
      <xdr:rowOff>139111</xdr:rowOff>
    </xdr:from>
    <xdr:to>
      <xdr:col>12</xdr:col>
      <xdr:colOff>276902</xdr:colOff>
      <xdr:row>45</xdr:row>
      <xdr:rowOff>54974</xdr:rowOff>
    </xdr:to>
    <xdr:sp macro="" textlink="">
      <xdr:nvSpPr>
        <xdr:cNvPr id="2" name="Arrow: Right 1">
          <a:extLst>
            <a:ext uri="{FF2B5EF4-FFF2-40B4-BE49-F238E27FC236}">
              <a16:creationId xmlns:a16="http://schemas.microsoft.com/office/drawing/2014/main" id="{60CBD31F-E6F4-4C36-B0C2-2EBBA6616F02}"/>
            </a:ext>
          </a:extLst>
        </xdr:cNvPr>
        <xdr:cNvSpPr/>
      </xdr:nvSpPr>
      <xdr:spPr>
        <a:xfrm rot="9870239">
          <a:off x="6575879" y="6224225"/>
          <a:ext cx="994452" cy="503692"/>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326279</xdr:colOff>
      <xdr:row>41</xdr:row>
      <xdr:rowOff>10887</xdr:rowOff>
    </xdr:from>
    <xdr:ext cx="2976562" cy="436786"/>
    <xdr:sp macro="" textlink="">
      <xdr:nvSpPr>
        <xdr:cNvPr id="3" name="TextBox 2">
          <a:extLst>
            <a:ext uri="{FF2B5EF4-FFF2-40B4-BE49-F238E27FC236}">
              <a16:creationId xmlns:a16="http://schemas.microsoft.com/office/drawing/2014/main" id="{82DC7090-8AC4-4323-ACB3-B417133BFF66}"/>
            </a:ext>
          </a:extLst>
        </xdr:cNvPr>
        <xdr:cNvSpPr txBox="1"/>
      </xdr:nvSpPr>
      <xdr:spPr>
        <a:xfrm>
          <a:off x="7343029" y="6310087"/>
          <a:ext cx="2976562" cy="436786"/>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a:t>
          </a:r>
          <a:r>
            <a:rPr lang="en-US" sz="1100" baseline="0">
              <a:solidFill>
                <a:schemeClr val="tx1">
                  <a:lumMod val="75000"/>
                  <a:lumOff val="25000"/>
                </a:schemeClr>
              </a:solidFill>
            </a:rPr>
            <a:t>First Mortgage Debt Service line by referencing cell $F$9 in all periods.</a:t>
          </a:r>
          <a:endParaRPr lang="en-US" sz="1100">
            <a:solidFill>
              <a:schemeClr val="tx1">
                <a:lumMod val="75000"/>
                <a:lumOff val="25000"/>
              </a:schemeClr>
            </a:solidFill>
          </a:endParaRPr>
        </a:p>
      </xdr:txBody>
    </xdr:sp>
    <xdr:clientData/>
  </xdr:oneCellAnchor>
  <xdr:twoCellAnchor>
    <xdr:from>
      <xdr:col>3</xdr:col>
      <xdr:colOff>141515</xdr:colOff>
      <xdr:row>71</xdr:row>
      <xdr:rowOff>72890</xdr:rowOff>
    </xdr:from>
    <xdr:to>
      <xdr:col>4</xdr:col>
      <xdr:colOff>549952</xdr:colOff>
      <xdr:row>74</xdr:row>
      <xdr:rowOff>33204</xdr:rowOff>
    </xdr:to>
    <xdr:sp macro="" textlink="">
      <xdr:nvSpPr>
        <xdr:cNvPr id="4" name="Arrow: Right 3">
          <a:extLst>
            <a:ext uri="{FF2B5EF4-FFF2-40B4-BE49-F238E27FC236}">
              <a16:creationId xmlns:a16="http://schemas.microsoft.com/office/drawing/2014/main" id="{50F8DA1E-9F2F-4058-93D1-B8BC32A838A0}"/>
            </a:ext>
          </a:extLst>
        </xdr:cNvPr>
        <xdr:cNvSpPr/>
      </xdr:nvSpPr>
      <xdr:spPr>
        <a:xfrm rot="12533590">
          <a:off x="2705101" y="10757219"/>
          <a:ext cx="963608" cy="515485"/>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5</xdr:col>
      <xdr:colOff>39395</xdr:colOff>
      <xdr:row>73</xdr:row>
      <xdr:rowOff>75749</xdr:rowOff>
    </xdr:from>
    <xdr:ext cx="2976562" cy="264560"/>
    <xdr:sp macro="" textlink="">
      <xdr:nvSpPr>
        <xdr:cNvPr id="5" name="TextBox 4">
          <a:extLst>
            <a:ext uri="{FF2B5EF4-FFF2-40B4-BE49-F238E27FC236}">
              <a16:creationId xmlns:a16="http://schemas.microsoft.com/office/drawing/2014/main" id="{E11029F4-70E6-4E21-B817-852F01ED52BA}"/>
            </a:ext>
          </a:extLst>
        </xdr:cNvPr>
        <xdr:cNvSpPr txBox="1"/>
      </xdr:nvSpPr>
      <xdr:spPr>
        <a:xfrm>
          <a:off x="3576345" y="11512099"/>
          <a:ext cx="2976562" cy="264560"/>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1100">
              <a:solidFill>
                <a:schemeClr val="tx1">
                  <a:lumMod val="75000"/>
                  <a:lumOff val="25000"/>
                </a:schemeClr>
              </a:solidFill>
              <a:latin typeface="+mn-lt"/>
              <a:ea typeface="+mn-ea"/>
              <a:cs typeface="+mn-cs"/>
            </a:rPr>
            <a:t>Calculate the Net After-Tax Profit, NPV, and IRR.</a:t>
          </a:r>
        </a:p>
      </xdr:txBody>
    </xdr:sp>
    <xdr:clientData/>
  </xdr:oneCellAnchor>
  <xdr:twoCellAnchor>
    <xdr:from>
      <xdr:col>10</xdr:col>
      <xdr:colOff>112486</xdr:colOff>
      <xdr:row>67</xdr:row>
      <xdr:rowOff>40824</xdr:rowOff>
    </xdr:from>
    <xdr:to>
      <xdr:col>12</xdr:col>
      <xdr:colOff>334052</xdr:colOff>
      <xdr:row>70</xdr:row>
      <xdr:rowOff>109087</xdr:rowOff>
    </xdr:to>
    <xdr:sp macro="" textlink="">
      <xdr:nvSpPr>
        <xdr:cNvPr id="6" name="Arrow: Right 5">
          <a:extLst>
            <a:ext uri="{FF2B5EF4-FFF2-40B4-BE49-F238E27FC236}">
              <a16:creationId xmlns:a16="http://schemas.microsoft.com/office/drawing/2014/main" id="{21107219-7087-48B2-82B4-2833EC6A1175}"/>
            </a:ext>
          </a:extLst>
        </xdr:cNvPr>
        <xdr:cNvSpPr/>
      </xdr:nvSpPr>
      <xdr:spPr>
        <a:xfrm rot="12533590">
          <a:off x="6633029" y="10137324"/>
          <a:ext cx="994452" cy="509134"/>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364379</xdr:colOff>
      <xdr:row>70</xdr:row>
      <xdr:rowOff>65907</xdr:rowOff>
    </xdr:from>
    <xdr:ext cx="2976562" cy="609013"/>
    <xdr:sp macro="" textlink="">
      <xdr:nvSpPr>
        <xdr:cNvPr id="7" name="TextBox 6">
          <a:extLst>
            <a:ext uri="{FF2B5EF4-FFF2-40B4-BE49-F238E27FC236}">
              <a16:creationId xmlns:a16="http://schemas.microsoft.com/office/drawing/2014/main" id="{A7F75D51-8CB9-4D30-A022-503FB5DC10CB}"/>
            </a:ext>
          </a:extLst>
        </xdr:cNvPr>
        <xdr:cNvSpPr txBox="1"/>
      </xdr:nvSpPr>
      <xdr:spPr>
        <a:xfrm>
          <a:off x="7381129" y="10943457"/>
          <a:ext cx="2976562" cy="60901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1100" b="1">
              <a:solidFill>
                <a:schemeClr val="tx1">
                  <a:lumMod val="75000"/>
                  <a:lumOff val="25000"/>
                </a:schemeClr>
              </a:solidFill>
              <a:latin typeface="+mn-lt"/>
              <a:ea typeface="+mn-ea"/>
              <a:cs typeface="+mn-cs"/>
            </a:rPr>
            <a:t>Note: this After-Tax Net Sales Proceeds value will</a:t>
          </a:r>
          <a:r>
            <a:rPr lang="en-US" sz="1100" b="1" baseline="0">
              <a:solidFill>
                <a:schemeClr val="tx1">
                  <a:lumMod val="75000"/>
                  <a:lumOff val="25000"/>
                </a:schemeClr>
              </a:solidFill>
              <a:latin typeface="+mn-lt"/>
              <a:ea typeface="+mn-ea"/>
              <a:cs typeface="+mn-cs"/>
            </a:rPr>
            <a:t> not be correct until you complete Fig PIII.3 on the next tab.</a:t>
          </a:r>
          <a:endParaRPr lang="en-US" sz="1100" b="1">
            <a:solidFill>
              <a:schemeClr val="tx1">
                <a:lumMod val="75000"/>
                <a:lumOff val="25000"/>
              </a:schemeClr>
            </a:solidFill>
            <a:latin typeface="+mn-lt"/>
            <a:ea typeface="+mn-ea"/>
            <a:cs typeface="+mn-cs"/>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xdr:col>
      <xdr:colOff>59872</xdr:colOff>
      <xdr:row>47</xdr:row>
      <xdr:rowOff>94659</xdr:rowOff>
    </xdr:from>
    <xdr:to>
      <xdr:col>7</xdr:col>
      <xdr:colOff>258759</xdr:colOff>
      <xdr:row>51</xdr:row>
      <xdr:rowOff>15965</xdr:rowOff>
    </xdr:to>
    <xdr:sp macro="" textlink="">
      <xdr:nvSpPr>
        <xdr:cNvPr id="2" name="Arrow: Right 1">
          <a:extLst>
            <a:ext uri="{FF2B5EF4-FFF2-40B4-BE49-F238E27FC236}">
              <a16:creationId xmlns:a16="http://schemas.microsoft.com/office/drawing/2014/main" id="{E8A8296C-6BD8-4466-82AC-18033943D604}"/>
            </a:ext>
          </a:extLst>
        </xdr:cNvPr>
        <xdr:cNvSpPr/>
      </xdr:nvSpPr>
      <xdr:spPr>
        <a:xfrm rot="9870239">
          <a:off x="4467242" y="6797437"/>
          <a:ext cx="965591" cy="523380"/>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327184</xdr:colOff>
      <xdr:row>47</xdr:row>
      <xdr:rowOff>10885</xdr:rowOff>
    </xdr:from>
    <xdr:ext cx="3162963" cy="609013"/>
    <xdr:sp macro="" textlink="">
      <xdr:nvSpPr>
        <xdr:cNvPr id="3" name="TextBox 2">
          <a:extLst>
            <a:ext uri="{FF2B5EF4-FFF2-40B4-BE49-F238E27FC236}">
              <a16:creationId xmlns:a16="http://schemas.microsoft.com/office/drawing/2014/main" id="{2F6A1C1B-BE98-4DFB-BC8E-2D1470F46060}"/>
            </a:ext>
          </a:extLst>
        </xdr:cNvPr>
        <xdr:cNvSpPr txBox="1"/>
      </xdr:nvSpPr>
      <xdr:spPr>
        <a:xfrm>
          <a:off x="5350034" y="6805385"/>
          <a:ext cx="3162963" cy="60901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solidFill>
                <a:schemeClr val="tx1">
                  <a:lumMod val="75000"/>
                  <a:lumOff val="25000"/>
                </a:schemeClr>
              </a:solidFill>
            </a:rPr>
            <a:t>Fill in the </a:t>
          </a:r>
          <a:r>
            <a:rPr lang="en-US" sz="1100" baseline="0">
              <a:solidFill>
                <a:schemeClr val="tx1">
                  <a:lumMod val="75000"/>
                  <a:lumOff val="25000"/>
                </a:schemeClr>
              </a:solidFill>
            </a:rPr>
            <a:t>Less Outstanding Mortgage Balance amount Service line by deducting the sum of row 32 from cell E4. The value should show as negative.</a:t>
          </a:r>
          <a:endParaRPr lang="en-US" sz="1100">
            <a:solidFill>
              <a:schemeClr val="tx1">
                <a:lumMod val="75000"/>
                <a:lumOff val="25000"/>
              </a:schemeClr>
            </a:solidFill>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10</xdr:col>
      <xdr:colOff>636270</xdr:colOff>
      <xdr:row>2</xdr:row>
      <xdr:rowOff>68580</xdr:rowOff>
    </xdr:from>
    <xdr:to>
      <xdr:col>17</xdr:col>
      <xdr:colOff>525780</xdr:colOff>
      <xdr:row>20</xdr:row>
      <xdr:rowOff>137160</xdr:rowOff>
    </xdr:to>
    <xdr:graphicFrame macro="">
      <xdr:nvGraphicFramePr>
        <xdr:cNvPr id="2" name="Chart 1">
          <a:extLst>
            <a:ext uri="{FF2B5EF4-FFF2-40B4-BE49-F238E27FC236}">
              <a16:creationId xmlns:a16="http://schemas.microsoft.com/office/drawing/2014/main" id="{B3DE0425-2CBC-4923-A8E5-835939F5B2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52387</xdr:colOff>
      <xdr:row>28</xdr:row>
      <xdr:rowOff>34788</xdr:rowOff>
    </xdr:from>
    <xdr:to>
      <xdr:col>11</xdr:col>
      <xdr:colOff>133573</xdr:colOff>
      <xdr:row>31</xdr:row>
      <xdr:rowOff>101010</xdr:rowOff>
    </xdr:to>
    <xdr:sp macro="" textlink="">
      <xdr:nvSpPr>
        <xdr:cNvPr id="3" name="Arrow: Right 2">
          <a:extLst>
            <a:ext uri="{FF2B5EF4-FFF2-40B4-BE49-F238E27FC236}">
              <a16:creationId xmlns:a16="http://schemas.microsoft.com/office/drawing/2014/main" id="{773DCAE8-48FE-478B-98B4-403842A83D09}"/>
            </a:ext>
          </a:extLst>
        </xdr:cNvPr>
        <xdr:cNvSpPr/>
      </xdr:nvSpPr>
      <xdr:spPr>
        <a:xfrm rot="9870239">
          <a:off x="5972175" y="4221026"/>
          <a:ext cx="971773" cy="509134"/>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221050</xdr:colOff>
      <xdr:row>22</xdr:row>
      <xdr:rowOff>100012</xdr:rowOff>
    </xdr:from>
    <xdr:ext cx="4711086" cy="5397501"/>
    <xdr:sp macro="" textlink="">
      <xdr:nvSpPr>
        <xdr:cNvPr id="4" name="TextBox 3">
          <a:extLst>
            <a:ext uri="{FF2B5EF4-FFF2-40B4-BE49-F238E27FC236}">
              <a16:creationId xmlns:a16="http://schemas.microsoft.com/office/drawing/2014/main" id="{F46C2D0E-70D4-41C3-AD4B-FAEA1F0F6469}"/>
            </a:ext>
          </a:extLst>
        </xdr:cNvPr>
        <xdr:cNvSpPr txBox="1"/>
      </xdr:nvSpPr>
      <xdr:spPr>
        <a:xfrm>
          <a:off x="7031425" y="3348037"/>
          <a:ext cx="4711086" cy="5397501"/>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First,</a:t>
          </a:r>
          <a:r>
            <a:rPr lang="en-US" sz="1100" baseline="0">
              <a:solidFill>
                <a:schemeClr val="tx1">
                  <a:lumMod val="75000"/>
                  <a:lumOff val="25000"/>
                </a:schemeClr>
              </a:solidFill>
            </a:rPr>
            <a:t> fill in the </a:t>
          </a:r>
          <a:r>
            <a:rPr lang="en-US" sz="1100">
              <a:solidFill>
                <a:schemeClr val="tx1">
                  <a:lumMod val="75000"/>
                  <a:lumOff val="25000"/>
                </a:schemeClr>
              </a:solidFill>
            </a:rPr>
            <a:t>Beginning of Year Balance</a:t>
          </a:r>
          <a:r>
            <a:rPr lang="en-US" sz="1100" baseline="0">
              <a:solidFill>
                <a:schemeClr val="tx1">
                  <a:lumMod val="75000"/>
                  <a:lumOff val="25000"/>
                </a:schemeClr>
              </a:solidFill>
            </a:rPr>
            <a:t> line. The Year 1 amount = the Mortgage Amount. Subsequent year values are = the prior year's Year-End Balance line amount.</a:t>
          </a:r>
        </a:p>
        <a:p>
          <a:endParaRPr lang="en-US" sz="1100" baseline="0">
            <a:solidFill>
              <a:schemeClr val="tx1">
                <a:lumMod val="75000"/>
                <a:lumOff val="25000"/>
              </a:schemeClr>
            </a:solidFill>
          </a:endParaRPr>
        </a:p>
        <a:p>
          <a:r>
            <a:rPr lang="en-US" sz="1100" baseline="0">
              <a:solidFill>
                <a:schemeClr val="tx1">
                  <a:lumMod val="75000"/>
                  <a:lumOff val="25000"/>
                </a:schemeClr>
              </a:solidFill>
            </a:rPr>
            <a:t>Next, fill in the Payment lines.</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The Interest Payment formula is the Beginning of Year Balance * First Mortgage Interest Rate.</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The Principal Payment formula uses the PPMT (principal payment) function, whose syntax is: =PPMT(rate,per,nper,pv,[fv],[type])</a:t>
          </a:r>
        </a:p>
        <a:p>
          <a:endParaRPr lang="en-US" sz="1100" baseline="0">
            <a:solidFill>
              <a:schemeClr val="tx1">
                <a:lumMod val="75000"/>
                <a:lumOff val="25000"/>
              </a:schemeClr>
            </a:solidFill>
          </a:endParaRPr>
        </a:p>
        <a:p>
          <a:r>
            <a:rPr lang="en-US" sz="1100" baseline="0">
              <a:solidFill>
                <a:schemeClr val="tx1">
                  <a:lumMod val="75000"/>
                  <a:lumOff val="25000"/>
                </a:schemeClr>
              </a:solidFill>
            </a:rPr>
            <a:t>rate = $E$7</a:t>
          </a:r>
        </a:p>
        <a:p>
          <a:r>
            <a:rPr lang="en-US" sz="1100" baseline="0">
              <a:solidFill>
                <a:schemeClr val="tx1">
                  <a:lumMod val="75000"/>
                  <a:lumOff val="25000"/>
                </a:schemeClr>
              </a:solidFill>
            </a:rPr>
            <a:t>per = current Year # (e.g., C27 for Year 1, D27 for Year 2)</a:t>
          </a:r>
        </a:p>
        <a:p>
          <a:r>
            <a:rPr lang="en-US" sz="1100" baseline="0">
              <a:solidFill>
                <a:schemeClr val="tx1">
                  <a:lumMod val="75000"/>
                  <a:lumOff val="25000"/>
                </a:schemeClr>
              </a:solidFill>
            </a:rPr>
            <a:t>nper = $E$8</a:t>
          </a:r>
        </a:p>
        <a:p>
          <a:r>
            <a:rPr lang="en-US" sz="1100" baseline="0">
              <a:solidFill>
                <a:schemeClr val="tx1">
                  <a:lumMod val="75000"/>
                  <a:lumOff val="25000"/>
                </a:schemeClr>
              </a:solidFill>
            </a:rPr>
            <a:t>pv = $E$4</a:t>
          </a:r>
        </a:p>
        <a:p>
          <a:endParaRPr lang="en-US" sz="1100" baseline="0">
            <a:solidFill>
              <a:schemeClr val="tx1">
                <a:lumMod val="75000"/>
                <a:lumOff val="25000"/>
              </a:schemeClr>
            </a:solidFill>
          </a:endParaRPr>
        </a:p>
        <a:p>
          <a:r>
            <a:rPr lang="en-US" sz="1100" baseline="0">
              <a:solidFill>
                <a:schemeClr val="tx1">
                  <a:lumMod val="75000"/>
                  <a:lumOff val="25000"/>
                </a:schemeClr>
              </a:solidFill>
            </a:rPr>
            <a:t>You can ignore the other arguments of the PPMT function, as FV does not apply in this context, and if we leave the "type" argument blank, Excel assumes the type = 0, which means payment in arrears, which is how U.S. mortgages work.</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Total Payment = sum of Interest Payment and Principal Payment.</a:t>
          </a:r>
        </a:p>
        <a:p>
          <a:endParaRPr lang="en-US" sz="1100" baseline="0">
            <a:solidFill>
              <a:schemeClr val="tx1">
                <a:lumMod val="75000"/>
                <a:lumOff val="25000"/>
              </a:schemeClr>
            </a:solidFill>
          </a:endParaRPr>
        </a:p>
        <a:p>
          <a:r>
            <a:rPr lang="en-US" sz="1100" baseline="0">
              <a:solidFill>
                <a:schemeClr val="tx1">
                  <a:lumMod val="75000"/>
                  <a:lumOff val="25000"/>
                </a:schemeClr>
              </a:solidFill>
            </a:rPr>
            <a:t>Then, fill in the Balloon Payment amount. The formul = Year 7 Beginning of Year Balance - Year 7 Principal Payment.</a:t>
          </a:r>
        </a:p>
        <a:p>
          <a:endParaRPr lang="en-US" sz="1100" baseline="0">
            <a:solidFill>
              <a:schemeClr val="tx1">
                <a:lumMod val="75000"/>
                <a:lumOff val="25000"/>
              </a:schemeClr>
            </a:solidFill>
          </a:endParaRPr>
        </a:p>
        <a:p>
          <a:r>
            <a:rPr lang="en-US" sz="1100" baseline="0">
              <a:solidFill>
                <a:schemeClr val="tx1">
                  <a:lumMod val="75000"/>
                  <a:lumOff val="25000"/>
                </a:schemeClr>
              </a:solidFill>
            </a:rPr>
            <a:t>Last, fill in the Year-End Balance line. The Year 1 amount = Mortgage Amount - Year 1 Principal Payment. Subsequent years are = prior year's Year-End Balance - current year's Principal Payment - current year's Balloon Payment.</a:t>
          </a:r>
          <a:endParaRPr lang="en-US" sz="1100">
            <a:solidFill>
              <a:schemeClr val="tx1">
                <a:lumMod val="75000"/>
                <a:lumOff val="25000"/>
              </a:schemeClr>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4</xdr:col>
      <xdr:colOff>110510</xdr:colOff>
      <xdr:row>20</xdr:row>
      <xdr:rowOff>67129</xdr:rowOff>
    </xdr:from>
    <xdr:to>
      <xdr:col>5</xdr:col>
      <xdr:colOff>32724</xdr:colOff>
      <xdr:row>26</xdr:row>
      <xdr:rowOff>88216</xdr:rowOff>
    </xdr:to>
    <xdr:sp macro="" textlink="">
      <xdr:nvSpPr>
        <xdr:cNvPr id="2" name="Arrow: Right 1">
          <a:extLst>
            <a:ext uri="{FF2B5EF4-FFF2-40B4-BE49-F238E27FC236}">
              <a16:creationId xmlns:a16="http://schemas.microsoft.com/office/drawing/2014/main" id="{2E60DA64-3A17-47D5-A8F6-3DCD981D0479}"/>
            </a:ext>
          </a:extLst>
        </xdr:cNvPr>
        <xdr:cNvSpPr/>
      </xdr:nvSpPr>
      <xdr:spPr>
        <a:xfrm rot="13858668">
          <a:off x="3903731" y="3349623"/>
          <a:ext cx="908272" cy="548142"/>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3</xdr:col>
      <xdr:colOff>141515</xdr:colOff>
      <xdr:row>27</xdr:row>
      <xdr:rowOff>27351</xdr:rowOff>
    </xdr:from>
    <xdr:ext cx="4711086" cy="690200"/>
    <xdr:sp macro="" textlink="">
      <xdr:nvSpPr>
        <xdr:cNvPr id="3" name="TextBox 2">
          <a:extLst>
            <a:ext uri="{FF2B5EF4-FFF2-40B4-BE49-F238E27FC236}">
              <a16:creationId xmlns:a16="http://schemas.microsoft.com/office/drawing/2014/main" id="{9BBEBE72-09BE-4179-A66E-37A66843782A}"/>
            </a:ext>
          </a:extLst>
        </xdr:cNvPr>
        <xdr:cNvSpPr txBox="1"/>
      </xdr:nvSpPr>
      <xdr:spPr>
        <a:xfrm>
          <a:off x="1373415" y="4294551"/>
          <a:ext cx="4711086" cy="690200"/>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Replicate</a:t>
          </a:r>
          <a:r>
            <a:rPr lang="en-US" sz="1100" baseline="0">
              <a:solidFill>
                <a:schemeClr val="tx1">
                  <a:lumMod val="75000"/>
                  <a:lumOff val="25000"/>
                </a:schemeClr>
              </a:solidFill>
            </a:rPr>
            <a:t> the formulas in the 10-year Amortization columns and apply them to the columns for the 20-, and 30-year Amortization terms. The 20-year values feed into Figure PIII.10 top and Figure PIII.11 right.</a:t>
          </a:r>
          <a:endParaRPr lang="en-US" sz="1100">
            <a:solidFill>
              <a:schemeClr val="tx1">
                <a:lumMod val="75000"/>
                <a:lumOff val="25000"/>
              </a:schemeClr>
            </a:solidFill>
          </a:endParaRPr>
        </a:p>
      </xdr:txBody>
    </xdr:sp>
    <xdr:clientData/>
  </xdr:oneCellAnchor>
  <xdr:twoCellAnchor>
    <xdr:from>
      <xdr:col>7</xdr:col>
      <xdr:colOff>2559</xdr:colOff>
      <xdr:row>20</xdr:row>
      <xdr:rowOff>54428</xdr:rowOff>
    </xdr:from>
    <xdr:to>
      <xdr:col>7</xdr:col>
      <xdr:colOff>550701</xdr:colOff>
      <xdr:row>26</xdr:row>
      <xdr:rowOff>75515</xdr:rowOff>
    </xdr:to>
    <xdr:sp macro="" textlink="">
      <xdr:nvSpPr>
        <xdr:cNvPr id="4" name="Arrow: Right 3">
          <a:extLst>
            <a:ext uri="{FF2B5EF4-FFF2-40B4-BE49-F238E27FC236}">
              <a16:creationId xmlns:a16="http://schemas.microsoft.com/office/drawing/2014/main" id="{80CB54A9-62C6-4377-8F0F-F882AB4EEB91}"/>
            </a:ext>
          </a:extLst>
        </xdr:cNvPr>
        <xdr:cNvSpPr/>
      </xdr:nvSpPr>
      <xdr:spPr>
        <a:xfrm rot="16200000">
          <a:off x="5238137" y="3336922"/>
          <a:ext cx="908272" cy="548142"/>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6188</xdr:colOff>
      <xdr:row>20</xdr:row>
      <xdr:rowOff>73477</xdr:rowOff>
    </xdr:from>
    <xdr:to>
      <xdr:col>10</xdr:col>
      <xdr:colOff>538001</xdr:colOff>
      <xdr:row>26</xdr:row>
      <xdr:rowOff>94564</xdr:rowOff>
    </xdr:to>
    <xdr:sp macro="" textlink="">
      <xdr:nvSpPr>
        <xdr:cNvPr id="5" name="Arrow: Right 4">
          <a:extLst>
            <a:ext uri="{FF2B5EF4-FFF2-40B4-BE49-F238E27FC236}">
              <a16:creationId xmlns:a16="http://schemas.microsoft.com/office/drawing/2014/main" id="{4F2989E8-C0B2-4CCF-960E-C1FA92F034A3}"/>
            </a:ext>
          </a:extLst>
        </xdr:cNvPr>
        <xdr:cNvSpPr/>
      </xdr:nvSpPr>
      <xdr:spPr>
        <a:xfrm rot="18749169">
          <a:off x="6675959" y="3364135"/>
          <a:ext cx="908272" cy="531813"/>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10887</xdr:colOff>
      <xdr:row>46</xdr:row>
      <xdr:rowOff>111895</xdr:rowOff>
    </xdr:from>
    <xdr:to>
      <xdr:col>12</xdr:col>
      <xdr:colOff>209774</xdr:colOff>
      <xdr:row>50</xdr:row>
      <xdr:rowOff>27758</xdr:rowOff>
    </xdr:to>
    <xdr:sp macro="" textlink="">
      <xdr:nvSpPr>
        <xdr:cNvPr id="2" name="Arrow: Right 1">
          <a:extLst>
            <a:ext uri="{FF2B5EF4-FFF2-40B4-BE49-F238E27FC236}">
              <a16:creationId xmlns:a16="http://schemas.microsoft.com/office/drawing/2014/main" id="{34472DDE-7596-4455-848D-8BB59062D929}"/>
            </a:ext>
          </a:extLst>
        </xdr:cNvPr>
        <xdr:cNvSpPr/>
      </xdr:nvSpPr>
      <xdr:spPr>
        <a:xfrm rot="9870239">
          <a:off x="6531430" y="6931795"/>
          <a:ext cx="971773" cy="503692"/>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12</xdr:col>
      <xdr:colOff>330200</xdr:colOff>
      <xdr:row>46</xdr:row>
      <xdr:rowOff>76200</xdr:rowOff>
    </xdr:from>
    <xdr:ext cx="2725350" cy="1282699"/>
    <xdr:sp macro="" textlink="">
      <xdr:nvSpPr>
        <xdr:cNvPr id="4" name="TextBox 3">
          <a:extLst>
            <a:ext uri="{FF2B5EF4-FFF2-40B4-BE49-F238E27FC236}">
              <a16:creationId xmlns:a16="http://schemas.microsoft.com/office/drawing/2014/main" id="{5D9B1B58-78B2-4CCF-9681-C40B316EEE79}"/>
            </a:ext>
          </a:extLst>
        </xdr:cNvPr>
        <xdr:cNvSpPr txBox="1"/>
      </xdr:nvSpPr>
      <xdr:spPr>
        <a:xfrm>
          <a:off x="7346950" y="7137400"/>
          <a:ext cx="2725350" cy="1282699"/>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The Principal Amortization values are linked to the 20-year Principal Payment column in the table</a:t>
          </a:r>
          <a:r>
            <a:rPr lang="en-US" sz="1100" baseline="0">
              <a:solidFill>
                <a:schemeClr val="tx1">
                  <a:lumMod val="75000"/>
                  <a:lumOff val="25000"/>
                </a:schemeClr>
              </a:solidFill>
            </a:rPr>
            <a:t> in Fig PIII.9 on the previous tab. </a:t>
          </a:r>
        </a:p>
        <a:p>
          <a:endParaRPr lang="en-US" sz="1100" baseline="0">
            <a:solidFill>
              <a:schemeClr val="tx1">
                <a:lumMod val="75000"/>
                <a:lumOff val="25000"/>
              </a:schemeClr>
            </a:solidFill>
          </a:endParaRPr>
        </a:p>
        <a:p>
          <a:r>
            <a:rPr lang="en-US" sz="1100" baseline="0">
              <a:solidFill>
                <a:schemeClr val="tx1">
                  <a:lumMod val="75000"/>
                  <a:lumOff val="25000"/>
                </a:schemeClr>
              </a:solidFill>
            </a:rPr>
            <a:t>Figure PIII.9 must be filled in correctly for this Figure to show properly.</a:t>
          </a:r>
        </a:p>
        <a:p>
          <a:endParaRPr lang="en-US" sz="1100" baseline="0">
            <a:solidFill>
              <a:schemeClr val="tx1">
                <a:lumMod val="75000"/>
                <a:lumOff val="25000"/>
              </a:schemeClr>
            </a:solidFill>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5</xdr:col>
      <xdr:colOff>59871</xdr:colOff>
      <xdr:row>64</xdr:row>
      <xdr:rowOff>122780</xdr:rowOff>
    </xdr:from>
    <xdr:to>
      <xdr:col>7</xdr:col>
      <xdr:colOff>354008</xdr:colOff>
      <xdr:row>68</xdr:row>
      <xdr:rowOff>44086</xdr:rowOff>
    </xdr:to>
    <xdr:sp macro="" textlink="">
      <xdr:nvSpPr>
        <xdr:cNvPr id="2" name="Arrow: Right 1">
          <a:extLst>
            <a:ext uri="{FF2B5EF4-FFF2-40B4-BE49-F238E27FC236}">
              <a16:creationId xmlns:a16="http://schemas.microsoft.com/office/drawing/2014/main" id="{98F8256F-D217-485C-9F90-54BCE41B964A}"/>
            </a:ext>
          </a:extLst>
        </xdr:cNvPr>
        <xdr:cNvSpPr/>
      </xdr:nvSpPr>
      <xdr:spPr>
        <a:xfrm rot="9870239">
          <a:off x="4501242" y="6692309"/>
          <a:ext cx="969052" cy="509134"/>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460535</xdr:colOff>
      <xdr:row>64</xdr:row>
      <xdr:rowOff>70757</xdr:rowOff>
    </xdr:from>
    <xdr:ext cx="2644615" cy="1218293"/>
    <xdr:sp macro="" textlink="">
      <xdr:nvSpPr>
        <xdr:cNvPr id="3" name="TextBox 2">
          <a:extLst>
            <a:ext uri="{FF2B5EF4-FFF2-40B4-BE49-F238E27FC236}">
              <a16:creationId xmlns:a16="http://schemas.microsoft.com/office/drawing/2014/main" id="{324A3A55-E7FA-4788-A4E4-754C8EC1FA9F}"/>
            </a:ext>
          </a:extLst>
        </xdr:cNvPr>
        <xdr:cNvSpPr txBox="1"/>
      </xdr:nvSpPr>
      <xdr:spPr>
        <a:xfrm>
          <a:off x="5381785" y="6865257"/>
          <a:ext cx="2644615" cy="1218293"/>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The Less Outstanding Mortgage Balance cell is linked to the Year 7 Mortgage Balance </a:t>
          </a:r>
          <a:r>
            <a:rPr lang="en-US" sz="1100" baseline="0">
              <a:solidFill>
                <a:schemeClr val="tx1">
                  <a:lumMod val="75000"/>
                  <a:lumOff val="25000"/>
                </a:schemeClr>
              </a:solidFill>
              <a:latin typeface="+mn-lt"/>
              <a:ea typeface="+mn-ea"/>
              <a:cs typeface="+mn-cs"/>
            </a:rPr>
            <a:t>in</a:t>
          </a:r>
          <a:r>
            <a:rPr lang="en-US" sz="1100">
              <a:solidFill>
                <a:schemeClr val="tx1">
                  <a:lumMod val="75000"/>
                  <a:lumOff val="25000"/>
                </a:schemeClr>
              </a:solidFill>
            </a:rPr>
            <a:t> </a:t>
          </a:r>
          <a:r>
            <a:rPr lang="en-US" sz="1100" baseline="0">
              <a:solidFill>
                <a:schemeClr val="tx1">
                  <a:lumMod val="75000"/>
                  <a:lumOff val="25000"/>
                </a:schemeClr>
              </a:solidFill>
              <a:effectLst/>
              <a:latin typeface="+mn-lt"/>
              <a:ea typeface="+mn-ea"/>
              <a:cs typeface="+mn-cs"/>
            </a:rPr>
            <a:t>Figure PIII.9</a:t>
          </a:r>
          <a:r>
            <a:rPr lang="en-US" sz="1100" baseline="0">
              <a:solidFill>
                <a:schemeClr val="tx1">
                  <a:lumMod val="75000"/>
                  <a:lumOff val="25000"/>
                </a:schemeClr>
              </a:solidFill>
            </a:rPr>
            <a:t>.</a:t>
          </a:r>
        </a:p>
        <a:p>
          <a:endParaRPr lang="en-US" sz="1100" baseline="0">
            <a:solidFill>
              <a:schemeClr val="tx1">
                <a:lumMod val="75000"/>
                <a:lumOff val="25000"/>
              </a:schemeClr>
            </a:solidFill>
          </a:endParaRPr>
        </a:p>
        <a:p>
          <a:r>
            <a:rPr lang="en-US" sz="1100" baseline="0">
              <a:solidFill>
                <a:schemeClr val="tx1">
                  <a:lumMod val="75000"/>
                  <a:lumOff val="25000"/>
                </a:schemeClr>
              </a:solidFill>
            </a:rPr>
            <a:t>Figure PIII.9 must be filled in correctly for this Figure to show properly.</a:t>
          </a:r>
        </a:p>
        <a:p>
          <a:endParaRPr lang="en-US" sz="1100" baseline="0">
            <a:solidFill>
              <a:schemeClr val="tx1">
                <a:lumMod val="75000"/>
                <a:lumOff val="25000"/>
              </a:schemeClr>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8</xdr:col>
      <xdr:colOff>581025</xdr:colOff>
      <xdr:row>20</xdr:row>
      <xdr:rowOff>113935</xdr:rowOff>
    </xdr:from>
    <xdr:to>
      <xdr:col>11</xdr:col>
      <xdr:colOff>38323</xdr:colOff>
      <xdr:row>24</xdr:row>
      <xdr:rowOff>15510</xdr:rowOff>
    </xdr:to>
    <xdr:sp macro="" textlink="">
      <xdr:nvSpPr>
        <xdr:cNvPr id="2" name="Arrow: Right 1">
          <a:extLst>
            <a:ext uri="{FF2B5EF4-FFF2-40B4-BE49-F238E27FC236}">
              <a16:creationId xmlns:a16="http://schemas.microsoft.com/office/drawing/2014/main" id="{AD820AEA-EE51-44D3-95D4-4D02C9C9F6EE}"/>
            </a:ext>
          </a:extLst>
        </xdr:cNvPr>
        <xdr:cNvSpPr/>
      </xdr:nvSpPr>
      <xdr:spPr>
        <a:xfrm rot="9870239">
          <a:off x="5876925" y="3066685"/>
          <a:ext cx="971773" cy="506413"/>
        </a:xfrm>
        <a:prstGeom prst="rightArrow">
          <a:avLst/>
        </a:prstGeom>
      </xdr:spPr>
      <xdr:style>
        <a:lnRef idx="3">
          <a:schemeClr val="lt1"/>
        </a:lnRef>
        <a:fillRef idx="1">
          <a:schemeClr val="accent1"/>
        </a:fillRef>
        <a:effectRef idx="1">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11</xdr:col>
      <xdr:colOff>144850</xdr:colOff>
      <xdr:row>20</xdr:row>
      <xdr:rowOff>61912</xdr:rowOff>
    </xdr:from>
    <xdr:ext cx="2685436" cy="793749"/>
    <xdr:sp macro="" textlink="">
      <xdr:nvSpPr>
        <xdr:cNvPr id="3" name="TextBox 2">
          <a:extLst>
            <a:ext uri="{FF2B5EF4-FFF2-40B4-BE49-F238E27FC236}">
              <a16:creationId xmlns:a16="http://schemas.microsoft.com/office/drawing/2014/main" id="{92941122-87FD-4007-BC2E-F6D6CBE9DD9D}"/>
            </a:ext>
          </a:extLst>
        </xdr:cNvPr>
        <xdr:cNvSpPr txBox="1"/>
      </xdr:nvSpPr>
      <xdr:spPr>
        <a:xfrm>
          <a:off x="6955225" y="3014662"/>
          <a:ext cx="2685436" cy="793749"/>
        </a:xfrm>
        <a:prstGeom prst="rect">
          <a:avLst/>
        </a:prstGeom>
        <a:solidFill>
          <a:schemeClr val="bg1"/>
        </a:solidFill>
        <a:ln w="38100">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solidFill>
                <a:schemeClr val="tx1">
                  <a:lumMod val="75000"/>
                  <a:lumOff val="25000"/>
                </a:schemeClr>
              </a:solidFill>
            </a:rPr>
            <a:t>The formulas in this table are the same as those in Fig PIII.7, except for the Principal Payment is now a constant</a:t>
          </a:r>
          <a:r>
            <a:rPr lang="en-US" sz="1100" baseline="0">
              <a:solidFill>
                <a:schemeClr val="tx1">
                  <a:lumMod val="75000"/>
                  <a:lumOff val="25000"/>
                </a:schemeClr>
              </a:solidFill>
            </a:rPr>
            <a:t> amount.</a:t>
          </a:r>
        </a:p>
        <a:p>
          <a:endParaRPr lang="en-US" sz="1100" baseline="0">
            <a:solidFill>
              <a:schemeClr val="tx1">
                <a:lumMod val="75000"/>
                <a:lumOff val="25000"/>
              </a:schemeClr>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E183-42C8-431A-8A78-D39BF7A25949}">
  <dimension ref="C54:L54"/>
  <sheetViews>
    <sheetView tabSelected="1" zoomScale="80" zoomScaleNormal="80" workbookViewId="0">
      <selection activeCell="C8" sqref="C8"/>
    </sheetView>
  </sheetViews>
  <sheetFormatPr defaultColWidth="9.08984375" defaultRowHeight="14.5"/>
  <cols>
    <col min="1" max="16384" width="9.08984375" style="344"/>
  </cols>
  <sheetData>
    <row r="54" spans="3:12">
      <c r="C54" s="362">
        <f ca="1">YEAR(TODAY())</f>
        <v>2022</v>
      </c>
      <c r="D54" s="362"/>
      <c r="E54" s="362"/>
      <c r="F54" s="362"/>
      <c r="G54" s="362"/>
      <c r="H54" s="362"/>
      <c r="I54" s="362"/>
      <c r="J54" s="362"/>
      <c r="K54" s="362"/>
      <c r="L54" s="362"/>
    </row>
  </sheetData>
  <mergeCells count="1">
    <mergeCell ref="C54:L54"/>
  </mergeCells>
  <pageMargins left="0.7" right="0.7" top="0.75" bottom="0.75" header="0.3" footer="0.3"/>
  <pageSetup scale="7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B3B1E-5178-4F15-8FA7-8147A0FD1DB0}">
  <dimension ref="B1:K71"/>
  <sheetViews>
    <sheetView topLeftCell="A22" zoomScaleNormal="100" workbookViewId="0">
      <selection activeCell="B60" sqref="B60"/>
    </sheetView>
  </sheetViews>
  <sheetFormatPr defaultColWidth="9" defaultRowHeight="12" outlineLevelRow="2" outlineLevelCol="1"/>
  <cols>
    <col min="1" max="1" width="2.6328125" style="3" customWidth="1"/>
    <col min="2" max="2" width="23" style="3" customWidth="1"/>
    <col min="3" max="3" width="10.7265625" style="3" customWidth="1" outlineLevel="1"/>
    <col min="4" max="4" width="15.7265625" style="3" customWidth="1"/>
    <col min="5" max="5" width="9.08984375" style="3" customWidth="1"/>
    <col min="6" max="6" width="1.6328125" style="3" customWidth="1"/>
    <col min="7" max="9" width="7.6328125" style="3" customWidth="1"/>
    <col min="10" max="10" width="8.6328125" style="3" customWidth="1"/>
    <col min="11" max="11" width="1.6328125" style="3" customWidth="1"/>
    <col min="12" max="16384" width="9" style="3"/>
  </cols>
  <sheetData>
    <row r="1" spans="2:10">
      <c r="B1" s="26"/>
      <c r="C1" s="26"/>
      <c r="D1" s="25" t="s">
        <v>85</v>
      </c>
    </row>
    <row r="2" spans="2:10">
      <c r="B2" s="92" t="str">
        <f>'Fig PIII.1'!B2</f>
        <v>Assumptions:</v>
      </c>
      <c r="C2" s="92"/>
      <c r="D2" s="67"/>
      <c r="E2" s="67"/>
      <c r="F2" s="67"/>
      <c r="G2" s="67"/>
      <c r="H2" s="67"/>
      <c r="I2" s="67"/>
      <c r="J2" s="67"/>
    </row>
    <row r="3" spans="2:10">
      <c r="B3" s="67" t="str">
        <f>'Fig PIII.1'!B3</f>
        <v>Acquisition Cost</v>
      </c>
      <c r="C3" s="67"/>
      <c r="D3" s="67"/>
      <c r="E3" s="67"/>
      <c r="F3" s="270">
        <f>'Fig PIII.1'!D3</f>
        <v>6700000</v>
      </c>
      <c r="G3" s="67"/>
      <c r="H3" s="67" t="str">
        <f>'Fig PIII.1'!F3</f>
        <v>Capital Gains Tax Rate</v>
      </c>
      <c r="I3" s="67"/>
      <c r="J3" s="94">
        <f>'Fig PIII.1'!I3</f>
        <v>0.15</v>
      </c>
    </row>
    <row r="4" spans="2:10">
      <c r="B4" s="67" t="str">
        <f>'Fig PIII.1'!B4</f>
        <v>First Mortgage Loan Amount</v>
      </c>
      <c r="C4" s="67"/>
      <c r="D4" s="67"/>
      <c r="E4" s="67"/>
      <c r="F4" s="270">
        <f>'Fig PIII.1'!D4</f>
        <v>5000000</v>
      </c>
      <c r="G4" s="67"/>
      <c r="H4" s="67" t="str">
        <f>'Fig PIII.1'!F4</f>
        <v>Ordinary Income Tax Rate</v>
      </c>
      <c r="I4" s="67"/>
      <c r="J4" s="94">
        <f>'Fig PIII.1'!I4</f>
        <v>0.21</v>
      </c>
    </row>
    <row r="5" spans="2:10">
      <c r="B5" s="67" t="str">
        <f>'Fig PIII.1'!B5</f>
        <v>Equity Investment</v>
      </c>
      <c r="C5" s="67"/>
      <c r="D5" s="67"/>
      <c r="E5" s="67"/>
      <c r="F5" s="270">
        <f>'Fig PIII.1'!D5</f>
        <v>1700000</v>
      </c>
      <c r="G5" s="67"/>
      <c r="H5" s="67" t="str">
        <f>'Fig PIII.1'!F5</f>
        <v>Tax Rate on Accumulated Depreciation</v>
      </c>
      <c r="I5" s="67"/>
      <c r="J5" s="94">
        <f>'Fig PIII.1'!I5</f>
        <v>0.25</v>
      </c>
    </row>
    <row r="6" spans="2:10">
      <c r="B6" s="67"/>
      <c r="C6" s="67"/>
      <c r="D6" s="67"/>
      <c r="E6" s="67"/>
      <c r="F6" s="67"/>
      <c r="G6" s="67"/>
      <c r="H6" s="67" t="str">
        <f>'Fig PIII.1'!F6</f>
        <v>Implied Land Value</v>
      </c>
      <c r="I6" s="67"/>
      <c r="J6" s="93">
        <f>'Fig PIII.1'!I6</f>
        <v>1150000</v>
      </c>
    </row>
    <row r="7" spans="2:10">
      <c r="B7" s="67" t="str">
        <f>'Fig PIII.1'!B7</f>
        <v>First Mortgage Interest Rate (%)</v>
      </c>
      <c r="C7" s="67"/>
      <c r="D7" s="67"/>
      <c r="E7" s="67"/>
      <c r="F7" s="94">
        <f>'Fig PIII.1'!D7</f>
        <v>0.05</v>
      </c>
      <c r="G7" s="67"/>
      <c r="H7" s="67" t="str">
        <f>'Fig PIII.1'!F7</f>
        <v>Depreciable Basis</v>
      </c>
      <c r="I7" s="67"/>
      <c r="J7" s="93">
        <f>'Fig PIII.1'!I7</f>
        <v>5550000</v>
      </c>
    </row>
    <row r="8" spans="2:10">
      <c r="B8" s="67" t="str">
        <f>'Fig PIII.1'!B8</f>
        <v>Amortization Term (Years)</v>
      </c>
      <c r="C8" s="67"/>
      <c r="D8" s="67"/>
      <c r="E8" s="67"/>
      <c r="F8" s="22">
        <v>20</v>
      </c>
      <c r="G8" s="67"/>
      <c r="H8" s="67" t="str">
        <f>'Fig PIII.1'!F8</f>
        <v>Depreciable Life (in Years)</v>
      </c>
      <c r="I8" s="67"/>
      <c r="J8" s="67">
        <f>'Fig PIII.1'!I8</f>
        <v>27.5</v>
      </c>
    </row>
    <row r="9" spans="2:10">
      <c r="B9" s="67" t="str">
        <f>'Fig PIII.1'!B9</f>
        <v>First Mortgage Annual Debt Payment (annual payments)</v>
      </c>
      <c r="C9" s="67"/>
      <c r="D9" s="67"/>
      <c r="E9" s="67"/>
      <c r="F9" s="93">
        <f>-PMT(F7,F8,F4)</f>
        <v>401212.93595345656</v>
      </c>
      <c r="G9" s="67"/>
      <c r="H9" s="67"/>
      <c r="I9" s="67"/>
      <c r="J9" s="67"/>
    </row>
    <row r="10" spans="2:10">
      <c r="B10" s="67" t="str">
        <f>'Fig PIII.1'!B10</f>
        <v>Loan Points</v>
      </c>
      <c r="C10" s="67"/>
      <c r="D10" s="67"/>
      <c r="E10" s="67"/>
      <c r="F10" s="94">
        <f>'Fig PIII.1'!D10</f>
        <v>0</v>
      </c>
      <c r="G10" s="67"/>
      <c r="H10" s="67" t="str">
        <f>'Fig PIII.1'!F10</f>
        <v>Discount Rate</v>
      </c>
      <c r="I10" s="67"/>
      <c r="J10" s="94">
        <f>'Fig PIII.1'!I10</f>
        <v>0.1</v>
      </c>
    </row>
    <row r="11" spans="2:10">
      <c r="B11" s="67" t="str">
        <f>'Fig PIII.1'!B11</f>
        <v>Years of Loan Points Amortization</v>
      </c>
      <c r="C11" s="67"/>
      <c r="D11" s="67"/>
      <c r="E11" s="67"/>
      <c r="F11" s="95">
        <f>'Fig PIII.1'!D11</f>
        <v>7</v>
      </c>
      <c r="G11" s="67"/>
      <c r="H11" s="67"/>
      <c r="I11" s="67"/>
      <c r="J11" s="67"/>
    </row>
    <row r="12" spans="2:10">
      <c r="B12" s="67"/>
      <c r="C12" s="67"/>
      <c r="D12" s="67"/>
      <c r="E12" s="67"/>
      <c r="F12" s="67"/>
      <c r="G12" s="67"/>
      <c r="H12" s="67"/>
      <c r="I12" s="67"/>
      <c r="J12" s="67"/>
    </row>
    <row r="13" spans="2:10">
      <c r="B13" s="67" t="str">
        <f>'Fig PIII.1'!B13</f>
        <v>1st Year Base Rent Revenues</v>
      </c>
      <c r="C13" s="67"/>
      <c r="D13" s="67"/>
      <c r="E13" s="67"/>
      <c r="F13" s="270">
        <f>'Fig PIII.1'!D13</f>
        <v>1000000</v>
      </c>
      <c r="G13" s="67"/>
      <c r="H13" s="67"/>
      <c r="I13" s="67"/>
      <c r="J13" s="67"/>
    </row>
    <row r="14" spans="2:10">
      <c r="B14" s="67" t="str">
        <f>'Fig PIII.1'!B14</f>
        <v>Base Rent Annual Increase</v>
      </c>
      <c r="C14" s="67"/>
      <c r="D14" s="67"/>
      <c r="E14" s="67"/>
      <c r="F14" s="94">
        <f>'Fig PIII.1'!D14</f>
        <v>0.03</v>
      </c>
      <c r="G14" s="67"/>
      <c r="H14" s="67"/>
      <c r="I14" s="67"/>
      <c r="J14" s="67"/>
    </row>
    <row r="15" spans="2:10">
      <c r="B15" s="67" t="str">
        <f>'Fig PIII.1'!B15</f>
        <v>Projected Vacancy</v>
      </c>
      <c r="C15" s="67"/>
      <c r="D15" s="67"/>
      <c r="E15" s="67"/>
      <c r="F15" s="94">
        <f>'Fig PIII.1'!D15</f>
        <v>0.05</v>
      </c>
      <c r="G15" s="67"/>
      <c r="H15" s="67"/>
      <c r="I15" s="67"/>
      <c r="J15" s="67"/>
    </row>
    <row r="16" spans="2:10">
      <c r="B16" s="67" t="str">
        <f>'Fig PIII.1'!B16</f>
        <v>Annual Operating Expense Increase</v>
      </c>
      <c r="C16" s="67"/>
      <c r="D16" s="67"/>
      <c r="E16" s="67"/>
      <c r="F16" s="94">
        <f>'Fig PIII.1'!D16</f>
        <v>0.05</v>
      </c>
      <c r="G16" s="67"/>
      <c r="H16" s="67"/>
      <c r="I16" s="67"/>
      <c r="J16" s="67"/>
    </row>
    <row r="17" spans="2:11">
      <c r="B17" s="67" t="str">
        <f>'Fig PIII.1'!B17</f>
        <v>First Year RE Taxes as % of gross rent roll</v>
      </c>
      <c r="C17" s="67"/>
      <c r="D17" s="67"/>
      <c r="E17" s="67"/>
      <c r="F17" s="94">
        <f>'Fig PIII.1'!D17</f>
        <v>0.14000000000000001</v>
      </c>
      <c r="G17" s="67"/>
      <c r="H17" s="67"/>
      <c r="I17" s="67"/>
      <c r="J17" s="67"/>
    </row>
    <row r="18" spans="2:11">
      <c r="B18" s="67" t="str">
        <f>'Fig PIII.1'!B18</f>
        <v>Annual Real Estate Tax Increase</v>
      </c>
      <c r="C18" s="67"/>
      <c r="D18" s="67"/>
      <c r="E18" s="67"/>
      <c r="F18" s="94">
        <f>'Fig PIII.1'!D18</f>
        <v>0.03</v>
      </c>
      <c r="G18" s="67"/>
      <c r="H18" s="67"/>
      <c r="I18" s="67"/>
      <c r="J18" s="67"/>
    </row>
    <row r="19" spans="2:11">
      <c r="B19" s="67" t="str">
        <f>'Fig PIII.1'!B19</f>
        <v>Replacement Reserve</v>
      </c>
      <c r="C19" s="67"/>
      <c r="D19" s="67"/>
      <c r="E19" s="67"/>
      <c r="F19" s="94">
        <f>'Fig PIII.1'!D19</f>
        <v>4.4999999999999998E-2</v>
      </c>
      <c r="G19" s="67"/>
      <c r="H19" s="67"/>
      <c r="I19" s="67"/>
      <c r="J19" s="67"/>
    </row>
    <row r="20" spans="2:11">
      <c r="B20" s="67" t="str">
        <f>'Fig PIII.1'!B20</f>
        <v>Going-Out Capitalization Rate</v>
      </c>
      <c r="C20" s="67"/>
      <c r="D20" s="67"/>
      <c r="E20" s="67"/>
      <c r="F20" s="94">
        <f>'Fig PIII.1'!D20</f>
        <v>0.08</v>
      </c>
      <c r="G20" s="67"/>
      <c r="H20" s="67"/>
      <c r="I20" s="67"/>
      <c r="J20" s="67"/>
    </row>
    <row r="21" spans="2:11">
      <c r="B21" s="67" t="str">
        <f>'Fig PIII.1'!B21</f>
        <v>Selling Costs</v>
      </c>
      <c r="C21" s="67"/>
      <c r="D21" s="67"/>
      <c r="E21" s="67"/>
      <c r="F21" s="94">
        <f>'Fig PIII.1'!D21</f>
        <v>0.02</v>
      </c>
      <c r="G21" s="67"/>
      <c r="H21" s="67"/>
      <c r="I21" s="67"/>
      <c r="J21" s="67"/>
    </row>
    <row r="22" spans="2:11" ht="12" customHeight="1"/>
    <row r="23" spans="2:11">
      <c r="B23" s="28"/>
      <c r="C23" s="28"/>
      <c r="D23" s="368" t="s">
        <v>105</v>
      </c>
      <c r="E23" s="368"/>
      <c r="F23" s="368"/>
      <c r="G23" s="368"/>
      <c r="H23" s="368"/>
      <c r="I23" s="368"/>
      <c r="J23" s="368"/>
      <c r="K23" s="368"/>
    </row>
    <row r="24" spans="2:11">
      <c r="B24" s="28"/>
      <c r="C24" s="28"/>
      <c r="D24" s="124">
        <v>1</v>
      </c>
      <c r="E24" s="124">
        <v>2</v>
      </c>
      <c r="F24" s="124">
        <v>3</v>
      </c>
      <c r="G24" s="124">
        <v>4</v>
      </c>
      <c r="H24" s="124">
        <v>5</v>
      </c>
      <c r="I24" s="124">
        <v>6</v>
      </c>
      <c r="J24" s="124">
        <v>7</v>
      </c>
      <c r="K24" s="124">
        <v>8</v>
      </c>
    </row>
    <row r="25" spans="2:11">
      <c r="B25" s="28"/>
      <c r="C25" s="28"/>
      <c r="D25" s="28"/>
      <c r="E25" s="28"/>
      <c r="F25" s="28"/>
      <c r="G25" s="28"/>
      <c r="H25" s="28"/>
      <c r="I25" s="28"/>
      <c r="J25" s="28"/>
      <c r="K25" s="28"/>
    </row>
    <row r="26" spans="2:11">
      <c r="B26" s="121" t="s">
        <v>27</v>
      </c>
      <c r="C26" s="121"/>
      <c r="D26" s="125">
        <f>F13</f>
        <v>1000000</v>
      </c>
      <c r="E26" s="126">
        <f>D26*(1+$F$14)</f>
        <v>1030000</v>
      </c>
      <c r="F26" s="126">
        <f t="shared" ref="F26:K26" si="0">E26*(1+$F$14)</f>
        <v>1060900</v>
      </c>
      <c r="G26" s="126">
        <f t="shared" si="0"/>
        <v>1092727</v>
      </c>
      <c r="H26" s="126">
        <f t="shared" si="0"/>
        <v>1125508.81</v>
      </c>
      <c r="I26" s="126">
        <f t="shared" si="0"/>
        <v>1159274.0743</v>
      </c>
      <c r="J26" s="126">
        <f t="shared" si="0"/>
        <v>1194052.2965289999</v>
      </c>
      <c r="K26" s="126">
        <f t="shared" si="0"/>
        <v>1229873.86542487</v>
      </c>
    </row>
    <row r="27" spans="2:11">
      <c r="B27" s="122" t="s">
        <v>28</v>
      </c>
      <c r="C27" s="122"/>
      <c r="D27" s="127">
        <v>0</v>
      </c>
      <c r="E27" s="127">
        <v>0</v>
      </c>
      <c r="F27" s="127">
        <v>0</v>
      </c>
      <c r="G27" s="127">
        <v>0</v>
      </c>
      <c r="H27" s="127">
        <v>0</v>
      </c>
      <c r="I27" s="127">
        <v>0</v>
      </c>
      <c r="J27" s="127">
        <v>0</v>
      </c>
      <c r="K27" s="127">
        <v>0</v>
      </c>
    </row>
    <row r="28" spans="2:11">
      <c r="B28" s="121" t="s">
        <v>29</v>
      </c>
      <c r="C28" s="121"/>
      <c r="D28" s="126">
        <f t="shared" ref="D28:K28" si="1">D26+D27</f>
        <v>1000000</v>
      </c>
      <c r="E28" s="126">
        <f t="shared" si="1"/>
        <v>1030000</v>
      </c>
      <c r="F28" s="126">
        <f t="shared" si="1"/>
        <v>1060900</v>
      </c>
      <c r="G28" s="126">
        <f t="shared" si="1"/>
        <v>1092727</v>
      </c>
      <c r="H28" s="126">
        <f t="shared" si="1"/>
        <v>1125508.81</v>
      </c>
      <c r="I28" s="126">
        <f t="shared" si="1"/>
        <v>1159274.0743</v>
      </c>
      <c r="J28" s="126">
        <f t="shared" si="1"/>
        <v>1194052.2965289999</v>
      </c>
      <c r="K28" s="126">
        <f t="shared" si="1"/>
        <v>1229873.86542487</v>
      </c>
    </row>
    <row r="29" spans="2:11">
      <c r="B29" s="121" t="s">
        <v>156</v>
      </c>
      <c r="C29" s="121"/>
      <c r="D29" s="128">
        <f>-$F$15*D28</f>
        <v>-50000</v>
      </c>
      <c r="E29" s="128">
        <f t="shared" ref="E29:K29" si="2">-$F$15*E28</f>
        <v>-51500</v>
      </c>
      <c r="F29" s="128">
        <f t="shared" si="2"/>
        <v>-53045</v>
      </c>
      <c r="G29" s="128">
        <f t="shared" si="2"/>
        <v>-54636.350000000006</v>
      </c>
      <c r="H29" s="128">
        <f t="shared" si="2"/>
        <v>-56275.440500000004</v>
      </c>
      <c r="I29" s="128">
        <f t="shared" si="2"/>
        <v>-57963.703715000003</v>
      </c>
      <c r="J29" s="128">
        <f t="shared" si="2"/>
        <v>-59702.614826450001</v>
      </c>
      <c r="K29" s="128">
        <f t="shared" si="2"/>
        <v>-61493.693271243508</v>
      </c>
    </row>
    <row r="30" spans="2:11">
      <c r="B30" s="121" t="s">
        <v>30</v>
      </c>
      <c r="C30" s="121"/>
      <c r="D30" s="126">
        <f t="shared" ref="D30:K30" si="3">D28+D29</f>
        <v>950000</v>
      </c>
      <c r="E30" s="126">
        <f t="shared" si="3"/>
        <v>978500</v>
      </c>
      <c r="F30" s="126">
        <f t="shared" si="3"/>
        <v>1007855</v>
      </c>
      <c r="G30" s="126">
        <f t="shared" si="3"/>
        <v>1038090.65</v>
      </c>
      <c r="H30" s="126">
        <f t="shared" si="3"/>
        <v>1069233.3695</v>
      </c>
      <c r="I30" s="126">
        <f t="shared" si="3"/>
        <v>1101310.3705849999</v>
      </c>
      <c r="J30" s="126">
        <f t="shared" si="3"/>
        <v>1134349.68170255</v>
      </c>
      <c r="K30" s="126">
        <f t="shared" si="3"/>
        <v>1168380.1721536266</v>
      </c>
    </row>
    <row r="31" spans="2:11">
      <c r="B31" s="122"/>
      <c r="C31" s="122"/>
      <c r="D31" s="129"/>
      <c r="E31" s="129"/>
      <c r="F31" s="129"/>
      <c r="G31" s="129"/>
      <c r="H31" s="129"/>
      <c r="I31" s="129"/>
      <c r="J31" s="129"/>
      <c r="K31" s="129"/>
    </row>
    <row r="32" spans="2:11">
      <c r="B32" s="121" t="s">
        <v>31</v>
      </c>
      <c r="C32" s="121"/>
      <c r="D32" s="126">
        <v>-246574</v>
      </c>
      <c r="E32" s="126">
        <f>D32*(1+$F$16)</f>
        <v>-258902.7</v>
      </c>
      <c r="F32" s="126">
        <f t="shared" ref="F32:K32" si="4">E32*(1+$F$16)</f>
        <v>-271847.83500000002</v>
      </c>
      <c r="G32" s="126">
        <f t="shared" si="4"/>
        <v>-285440.22675000003</v>
      </c>
      <c r="H32" s="126">
        <f t="shared" si="4"/>
        <v>-299712.23808750004</v>
      </c>
      <c r="I32" s="126">
        <f t="shared" si="4"/>
        <v>-314697.84999187506</v>
      </c>
      <c r="J32" s="126">
        <f t="shared" si="4"/>
        <v>-330432.74249146885</v>
      </c>
      <c r="K32" s="126">
        <f t="shared" si="4"/>
        <v>-346954.37961604231</v>
      </c>
    </row>
    <row r="33" spans="2:11">
      <c r="B33" s="121" t="s">
        <v>32</v>
      </c>
      <c r="C33" s="121"/>
      <c r="D33" s="126">
        <f>-(D28*F17)</f>
        <v>-140000</v>
      </c>
      <c r="E33" s="126">
        <f>D33*(1+$F$18)</f>
        <v>-144200</v>
      </c>
      <c r="F33" s="126">
        <f t="shared" ref="F33:K33" si="5">E33*(1+$F$18)</f>
        <v>-148526</v>
      </c>
      <c r="G33" s="126">
        <f t="shared" si="5"/>
        <v>-152981.78</v>
      </c>
      <c r="H33" s="126">
        <f t="shared" si="5"/>
        <v>-157571.2334</v>
      </c>
      <c r="I33" s="126">
        <f t="shared" si="5"/>
        <v>-162298.370402</v>
      </c>
      <c r="J33" s="126">
        <f t="shared" si="5"/>
        <v>-167167.32151405999</v>
      </c>
      <c r="K33" s="126">
        <f t="shared" si="5"/>
        <v>-172182.34115948179</v>
      </c>
    </row>
    <row r="34" spans="2:11">
      <c r="B34" s="121" t="s">
        <v>33</v>
      </c>
      <c r="C34" s="121"/>
      <c r="D34" s="128">
        <f>-$F$19*D28</f>
        <v>-45000</v>
      </c>
      <c r="E34" s="128">
        <f t="shared" ref="E34:K34" si="6">-$F$19*E28</f>
        <v>-46350</v>
      </c>
      <c r="F34" s="128">
        <f t="shared" si="6"/>
        <v>-47740.5</v>
      </c>
      <c r="G34" s="128">
        <f t="shared" si="6"/>
        <v>-49172.714999999997</v>
      </c>
      <c r="H34" s="128">
        <f t="shared" si="6"/>
        <v>-50647.89645</v>
      </c>
      <c r="I34" s="128">
        <f t="shared" si="6"/>
        <v>-52167.333343499995</v>
      </c>
      <c r="J34" s="128">
        <f t="shared" si="6"/>
        <v>-53732.353343804993</v>
      </c>
      <c r="K34" s="128">
        <f t="shared" si="6"/>
        <v>-55344.323944119147</v>
      </c>
    </row>
    <row r="35" spans="2:11">
      <c r="B35" s="122"/>
      <c r="C35" s="122"/>
      <c r="D35" s="129"/>
      <c r="E35" s="129"/>
      <c r="F35" s="129"/>
      <c r="G35" s="129"/>
      <c r="H35" s="129"/>
      <c r="I35" s="129"/>
      <c r="J35" s="129"/>
      <c r="K35" s="129"/>
    </row>
    <row r="36" spans="2:11">
      <c r="B36" s="121" t="s">
        <v>34</v>
      </c>
      <c r="C36" s="121"/>
      <c r="D36" s="126">
        <f t="shared" ref="D36:K36" si="7">D30+SUM(D32:D34)</f>
        <v>518426</v>
      </c>
      <c r="E36" s="126">
        <f t="shared" si="7"/>
        <v>529047.30000000005</v>
      </c>
      <c r="F36" s="126">
        <f t="shared" si="7"/>
        <v>539740.66500000004</v>
      </c>
      <c r="G36" s="126">
        <f t="shared" si="7"/>
        <v>550495.92825</v>
      </c>
      <c r="H36" s="126">
        <f t="shared" si="7"/>
        <v>561302.00156250002</v>
      </c>
      <c r="I36" s="126">
        <f t="shared" si="7"/>
        <v>572146.81684762484</v>
      </c>
      <c r="J36" s="126">
        <f t="shared" si="7"/>
        <v>583017.26435321628</v>
      </c>
      <c r="K36" s="126">
        <f t="shared" si="7"/>
        <v>593899.12743398338</v>
      </c>
    </row>
    <row r="38" spans="2:11" ht="12.5" hidden="1" outlineLevel="1" thickBot="1">
      <c r="B38" s="156" t="s">
        <v>146</v>
      </c>
      <c r="C38" s="156"/>
    </row>
    <row r="39" spans="2:11" ht="15" hidden="1" customHeight="1" outlineLevel="1" thickTop="1" thickBot="1">
      <c r="B39" s="363" t="s">
        <v>126</v>
      </c>
      <c r="C39" s="364"/>
      <c r="D39" s="364"/>
      <c r="E39" s="364"/>
      <c r="F39" s="364"/>
      <c r="G39" s="364"/>
      <c r="H39" s="364"/>
      <c r="I39" s="364"/>
      <c r="J39" s="364"/>
      <c r="K39" s="365"/>
    </row>
    <row r="40" spans="2:11" ht="12.5" hidden="1" outlineLevel="1" thickTop="1">
      <c r="B40" s="100"/>
      <c r="C40" s="75"/>
      <c r="D40" s="75"/>
      <c r="E40" s="75"/>
      <c r="F40" s="75"/>
      <c r="G40" s="75"/>
      <c r="H40" s="75"/>
      <c r="I40" s="75"/>
      <c r="J40" s="75"/>
      <c r="K40" s="101"/>
    </row>
    <row r="41" spans="2:11" hidden="1" outlineLevel="1">
      <c r="B41" s="102"/>
      <c r="C41" s="96"/>
      <c r="D41" s="97">
        <v>1</v>
      </c>
      <c r="E41" s="97">
        <v>2</v>
      </c>
      <c r="F41" s="97">
        <v>3</v>
      </c>
      <c r="G41" s="97">
        <v>4</v>
      </c>
      <c r="H41" s="97">
        <v>5</v>
      </c>
      <c r="I41" s="97">
        <v>6</v>
      </c>
      <c r="J41" s="97">
        <v>7</v>
      </c>
      <c r="K41" s="112">
        <v>8</v>
      </c>
    </row>
    <row r="42" spans="2:11" hidden="1" outlineLevel="1">
      <c r="B42" s="102"/>
      <c r="C42" s="96"/>
      <c r="D42" s="97"/>
      <c r="E42" s="97"/>
      <c r="F42" s="97"/>
      <c r="G42" s="97"/>
      <c r="H42" s="97"/>
      <c r="I42" s="97"/>
      <c r="J42" s="97"/>
      <c r="K42" s="113"/>
    </row>
    <row r="43" spans="2:11" hidden="1" outlineLevel="1">
      <c r="B43" s="87" t="s">
        <v>34</v>
      </c>
      <c r="C43" s="109"/>
      <c r="D43" s="98">
        <f t="shared" ref="D43:K43" si="8">D36</f>
        <v>518426</v>
      </c>
      <c r="E43" s="98">
        <f t="shared" si="8"/>
        <v>529047.30000000005</v>
      </c>
      <c r="F43" s="98">
        <f t="shared" si="8"/>
        <v>539740.66500000004</v>
      </c>
      <c r="G43" s="98">
        <f t="shared" si="8"/>
        <v>550495.92825</v>
      </c>
      <c r="H43" s="98">
        <f t="shared" si="8"/>
        <v>561302.00156250002</v>
      </c>
      <c r="I43" s="98">
        <f t="shared" si="8"/>
        <v>572146.81684762484</v>
      </c>
      <c r="J43" s="98">
        <f t="shared" si="8"/>
        <v>583017.26435321628</v>
      </c>
      <c r="K43" s="114">
        <f t="shared" si="8"/>
        <v>593899.12743398338</v>
      </c>
    </row>
    <row r="44" spans="2:11" hidden="1" outlineLevel="1">
      <c r="B44" s="116" t="s">
        <v>80</v>
      </c>
      <c r="C44" s="107"/>
      <c r="D44" s="117" t="s">
        <v>75</v>
      </c>
      <c r="E44" s="117" t="s">
        <v>75</v>
      </c>
      <c r="F44" s="117" t="s">
        <v>75</v>
      </c>
      <c r="G44" s="117" t="s">
        <v>75</v>
      </c>
      <c r="H44" s="117" t="s">
        <v>75</v>
      </c>
      <c r="I44" s="117" t="s">
        <v>75</v>
      </c>
      <c r="J44" s="117" t="s">
        <v>75</v>
      </c>
      <c r="K44" s="114"/>
    </row>
    <row r="45" spans="2:11" hidden="1" outlineLevel="1">
      <c r="B45" s="116" t="s">
        <v>106</v>
      </c>
      <c r="C45" s="107"/>
      <c r="D45" s="99">
        <f>-$F$9</f>
        <v>-401212.93595345656</v>
      </c>
      <c r="E45" s="99">
        <f t="shared" ref="E45:J45" si="9">-$F$9</f>
        <v>-401212.93595345656</v>
      </c>
      <c r="F45" s="99">
        <f t="shared" si="9"/>
        <v>-401212.93595345656</v>
      </c>
      <c r="G45" s="99">
        <f t="shared" si="9"/>
        <v>-401212.93595345656</v>
      </c>
      <c r="H45" s="99">
        <f t="shared" si="9"/>
        <v>-401212.93595345656</v>
      </c>
      <c r="I45" s="99">
        <f t="shared" si="9"/>
        <v>-401212.93595345656</v>
      </c>
      <c r="J45" s="99">
        <f t="shared" si="9"/>
        <v>-401212.93595345656</v>
      </c>
      <c r="K45" s="103"/>
    </row>
    <row r="46" spans="2:11" hidden="1" outlineLevel="1">
      <c r="B46" s="87" t="s">
        <v>141</v>
      </c>
      <c r="C46" s="109"/>
      <c r="D46" s="98">
        <f t="shared" ref="D46:J46" si="10">SUM(D43:D45)</f>
        <v>117213.06404654344</v>
      </c>
      <c r="E46" s="98">
        <f t="shared" si="10"/>
        <v>127834.36404654349</v>
      </c>
      <c r="F46" s="98">
        <f t="shared" si="10"/>
        <v>138527.72904654348</v>
      </c>
      <c r="G46" s="98">
        <f t="shared" si="10"/>
        <v>149282.99229654344</v>
      </c>
      <c r="H46" s="98">
        <f t="shared" si="10"/>
        <v>160089.06560904346</v>
      </c>
      <c r="I46" s="98">
        <f t="shared" si="10"/>
        <v>170933.88089416828</v>
      </c>
      <c r="J46" s="98">
        <f t="shared" si="10"/>
        <v>181804.32839975972</v>
      </c>
      <c r="K46" s="103"/>
    </row>
    <row r="47" spans="2:11" hidden="1" outlineLevel="1">
      <c r="B47" s="106"/>
      <c r="C47" s="157"/>
      <c r="D47" s="98"/>
      <c r="E47" s="98"/>
      <c r="F47" s="98"/>
      <c r="G47" s="98"/>
      <c r="H47" s="98"/>
      <c r="I47" s="98"/>
      <c r="J47" s="98"/>
      <c r="K47" s="103"/>
    </row>
    <row r="48" spans="2:11" hidden="1" outlineLevel="1">
      <c r="B48" s="87" t="s">
        <v>109</v>
      </c>
      <c r="C48" s="109"/>
      <c r="D48" s="98">
        <f>-$J$7/$J$8</f>
        <v>-201818.18181818182</v>
      </c>
      <c r="E48" s="98">
        <f t="shared" ref="E48:J48" si="11">-$J$7/$J$8</f>
        <v>-201818.18181818182</v>
      </c>
      <c r="F48" s="98">
        <f t="shared" si="11"/>
        <v>-201818.18181818182</v>
      </c>
      <c r="G48" s="98">
        <f t="shared" si="11"/>
        <v>-201818.18181818182</v>
      </c>
      <c r="H48" s="98">
        <f t="shared" si="11"/>
        <v>-201818.18181818182</v>
      </c>
      <c r="I48" s="98">
        <f t="shared" si="11"/>
        <v>-201818.18181818182</v>
      </c>
      <c r="J48" s="98">
        <f t="shared" si="11"/>
        <v>-201818.18181818182</v>
      </c>
      <c r="K48" s="103"/>
    </row>
    <row r="49" spans="2:11" hidden="1" outlineLevel="1">
      <c r="B49" s="87" t="s">
        <v>110</v>
      </c>
      <c r="C49" s="109"/>
      <c r="D49" s="98">
        <f t="shared" ref="D49:J49" si="12">-D34</f>
        <v>45000</v>
      </c>
      <c r="E49" s="98">
        <f t="shared" si="12"/>
        <v>46350</v>
      </c>
      <c r="F49" s="98">
        <f t="shared" si="12"/>
        <v>47740.5</v>
      </c>
      <c r="G49" s="98">
        <f t="shared" si="12"/>
        <v>49172.714999999997</v>
      </c>
      <c r="H49" s="98">
        <f t="shared" si="12"/>
        <v>50647.89645</v>
      </c>
      <c r="I49" s="98">
        <f t="shared" si="12"/>
        <v>52167.333343499995</v>
      </c>
      <c r="J49" s="98">
        <f t="shared" si="12"/>
        <v>53732.353343804993</v>
      </c>
      <c r="K49" s="103"/>
    </row>
    <row r="50" spans="2:11" hidden="1" outlineLevel="1">
      <c r="B50" s="87" t="s">
        <v>111</v>
      </c>
      <c r="C50" s="109"/>
      <c r="D50" s="117">
        <f>'Fig PIII.9'!H14</f>
        <v>0</v>
      </c>
      <c r="E50" s="117">
        <f>'Fig PIII.9'!H15</f>
        <v>0</v>
      </c>
      <c r="F50" s="117">
        <f>'Fig PIII.9'!H16</f>
        <v>0</v>
      </c>
      <c r="G50" s="117">
        <f>'Fig PIII.9'!H17</f>
        <v>0</v>
      </c>
      <c r="H50" s="117">
        <f>'Fig PIII.9'!H18</f>
        <v>0</v>
      </c>
      <c r="I50" s="117">
        <f>'Fig PIII.9'!H19</f>
        <v>0</v>
      </c>
      <c r="J50" s="117">
        <f>'Fig PIII.9'!H20</f>
        <v>0</v>
      </c>
      <c r="K50" s="103"/>
    </row>
    <row r="51" spans="2:11" hidden="1" outlineLevel="1">
      <c r="B51" s="87" t="s">
        <v>112</v>
      </c>
      <c r="C51" s="109"/>
      <c r="D51" s="120" t="s">
        <v>75</v>
      </c>
      <c r="E51" s="120" t="s">
        <v>75</v>
      </c>
      <c r="F51" s="120" t="s">
        <v>75</v>
      </c>
      <c r="G51" s="120" t="s">
        <v>75</v>
      </c>
      <c r="H51" s="120" t="s">
        <v>75</v>
      </c>
      <c r="I51" s="120" t="s">
        <v>75</v>
      </c>
      <c r="J51" s="120" t="s">
        <v>75</v>
      </c>
      <c r="K51" s="103"/>
    </row>
    <row r="52" spans="2:11" hidden="1" outlineLevel="2">
      <c r="B52" s="87" t="s">
        <v>35</v>
      </c>
      <c r="C52" s="109"/>
      <c r="D52" s="98">
        <f t="shared" ref="D52:J52" si="13">SUM(D46:D51)</f>
        <v>-39605.117771638383</v>
      </c>
      <c r="E52" s="98">
        <f t="shared" si="13"/>
        <v>-27633.817771638336</v>
      </c>
      <c r="F52" s="98">
        <f t="shared" si="13"/>
        <v>-15549.952771638345</v>
      </c>
      <c r="G52" s="98">
        <f t="shared" si="13"/>
        <v>-3362.474521638389</v>
      </c>
      <c r="H52" s="98">
        <f t="shared" si="13"/>
        <v>8918.7802408616408</v>
      </c>
      <c r="I52" s="98">
        <f t="shared" si="13"/>
        <v>21283.032419486452</v>
      </c>
      <c r="J52" s="98">
        <f t="shared" si="13"/>
        <v>33718.499925382886</v>
      </c>
      <c r="K52" s="103"/>
    </row>
    <row r="53" spans="2:11" hidden="1" outlineLevel="2">
      <c r="B53" s="87" t="s">
        <v>36</v>
      </c>
      <c r="C53" s="109"/>
      <c r="D53" s="118">
        <f>IF(D52&lt;0,D52,0)</f>
        <v>-39605.117771638383</v>
      </c>
      <c r="E53" s="118">
        <f t="shared" ref="E53:J53" si="14">IF(E52&lt;0,E52+D53-D54,D53-D54)</f>
        <v>-67238.935543276719</v>
      </c>
      <c r="F53" s="118">
        <f t="shared" si="14"/>
        <v>-82788.888314915064</v>
      </c>
      <c r="G53" s="118">
        <f t="shared" si="14"/>
        <v>-86151.362836553453</v>
      </c>
      <c r="H53" s="118">
        <f t="shared" si="14"/>
        <v>-86151.362836553453</v>
      </c>
      <c r="I53" s="118">
        <f t="shared" si="14"/>
        <v>-77232.582595691812</v>
      </c>
      <c r="J53" s="118">
        <f t="shared" si="14"/>
        <v>-55949.550176205361</v>
      </c>
      <c r="K53" s="103"/>
    </row>
    <row r="54" spans="2:11" hidden="1" outlineLevel="2">
      <c r="B54" s="87" t="s">
        <v>104</v>
      </c>
      <c r="C54" s="109"/>
      <c r="D54" s="119">
        <v>0</v>
      </c>
      <c r="E54" s="119">
        <f t="shared" ref="E54:J54" si="15">IF(E52&lt;0,0,IF(-E53&lt;E52,E53,-E52))</f>
        <v>0</v>
      </c>
      <c r="F54" s="119">
        <f t="shared" si="15"/>
        <v>0</v>
      </c>
      <c r="G54" s="119">
        <f t="shared" si="15"/>
        <v>0</v>
      </c>
      <c r="H54" s="119">
        <f t="shared" si="15"/>
        <v>-8918.7802408616408</v>
      </c>
      <c r="I54" s="119">
        <f t="shared" si="15"/>
        <v>-21283.032419486452</v>
      </c>
      <c r="J54" s="119">
        <f t="shared" si="15"/>
        <v>-33718.499925382886</v>
      </c>
      <c r="K54" s="103"/>
    </row>
    <row r="55" spans="2:11" hidden="1" outlineLevel="2">
      <c r="B55" s="106"/>
      <c r="C55" s="157"/>
      <c r="D55" s="98"/>
      <c r="E55" s="98"/>
      <c r="F55" s="98"/>
      <c r="G55" s="98"/>
      <c r="H55" s="98"/>
      <c r="I55" s="98"/>
      <c r="J55" s="98"/>
      <c r="K55" s="103"/>
    </row>
    <row r="56" spans="2:11" hidden="1" outlineLevel="1" collapsed="1">
      <c r="B56" s="87" t="s">
        <v>37</v>
      </c>
      <c r="C56" s="109"/>
      <c r="D56" s="98">
        <f t="shared" ref="D56:J56" si="16">D52+D54</f>
        <v>-39605.117771638383</v>
      </c>
      <c r="E56" s="98">
        <f t="shared" si="16"/>
        <v>-27633.817771638336</v>
      </c>
      <c r="F56" s="98">
        <f t="shared" si="16"/>
        <v>-15549.952771638345</v>
      </c>
      <c r="G56" s="98">
        <f t="shared" si="16"/>
        <v>-3362.474521638389</v>
      </c>
      <c r="H56" s="98">
        <f t="shared" si="16"/>
        <v>0</v>
      </c>
      <c r="I56" s="98">
        <f t="shared" si="16"/>
        <v>0</v>
      </c>
      <c r="J56" s="98">
        <f t="shared" si="16"/>
        <v>0</v>
      </c>
      <c r="K56" s="103"/>
    </row>
    <row r="57" spans="2:11" hidden="1" outlineLevel="1">
      <c r="B57" s="108" t="s">
        <v>108</v>
      </c>
      <c r="C57" s="158"/>
      <c r="D57" s="120">
        <f t="shared" ref="D57:J57" si="17">IF(D56&lt;0,0,(-$J$4*D56))</f>
        <v>0</v>
      </c>
      <c r="E57" s="120">
        <f t="shared" si="17"/>
        <v>0</v>
      </c>
      <c r="F57" s="120">
        <f t="shared" si="17"/>
        <v>0</v>
      </c>
      <c r="G57" s="120">
        <f t="shared" si="17"/>
        <v>0</v>
      </c>
      <c r="H57" s="120">
        <f t="shared" si="17"/>
        <v>0</v>
      </c>
      <c r="I57" s="120">
        <f t="shared" si="17"/>
        <v>0</v>
      </c>
      <c r="J57" s="120">
        <f t="shared" si="17"/>
        <v>0</v>
      </c>
      <c r="K57" s="103"/>
    </row>
    <row r="58" spans="2:11" s="111" customFormat="1" ht="20.25" hidden="1" customHeight="1" outlineLevel="1" thickBot="1">
      <c r="B58" s="88" t="s">
        <v>107</v>
      </c>
      <c r="C58" s="159"/>
      <c r="D58" s="115">
        <f t="shared" ref="D58:J58" si="18">D46+D57</f>
        <v>117213.06404654344</v>
      </c>
      <c r="E58" s="115">
        <f t="shared" si="18"/>
        <v>127834.36404654349</v>
      </c>
      <c r="F58" s="115">
        <f t="shared" si="18"/>
        <v>138527.72904654348</v>
      </c>
      <c r="G58" s="115">
        <f t="shared" si="18"/>
        <v>149282.99229654344</v>
      </c>
      <c r="H58" s="115">
        <f t="shared" si="18"/>
        <v>160089.06560904346</v>
      </c>
      <c r="I58" s="115">
        <f t="shared" si="18"/>
        <v>170933.88089416828</v>
      </c>
      <c r="J58" s="115">
        <f t="shared" si="18"/>
        <v>181804.32839975972</v>
      </c>
      <c r="K58" s="110"/>
    </row>
    <row r="59" spans="2:11" collapsed="1"/>
    <row r="60" spans="2:11" ht="12.5" thickBot="1">
      <c r="C60" s="156" t="s">
        <v>175</v>
      </c>
    </row>
    <row r="61" spans="2:11" ht="30" customHeight="1" thickTop="1" thickBot="1">
      <c r="C61" s="363" t="s">
        <v>147</v>
      </c>
      <c r="D61" s="371"/>
      <c r="E61" s="371"/>
      <c r="F61" s="372"/>
    </row>
    <row r="62" spans="2:11" ht="12.5" thickTop="1">
      <c r="C62" s="77"/>
      <c r="D62" s="78"/>
      <c r="E62" s="142"/>
      <c r="F62" s="89"/>
    </row>
    <row r="63" spans="2:11">
      <c r="C63" s="87" t="s">
        <v>39</v>
      </c>
      <c r="D63" s="78"/>
      <c r="E63" s="143">
        <f>'Fig PIII.3 and PIII.11 left'!E46</f>
        <v>7423739.0929247923</v>
      </c>
      <c r="F63" s="89"/>
    </row>
    <row r="64" spans="2:11">
      <c r="C64" s="144" t="s">
        <v>113</v>
      </c>
      <c r="D64" s="78"/>
      <c r="E64" s="141">
        <f>'Fig PIII.3 and PIII.11 left'!E47</f>
        <v>-148474.78185849584</v>
      </c>
      <c r="F64" s="89"/>
    </row>
    <row r="65" spans="3:6">
      <c r="C65" s="87" t="s">
        <v>40</v>
      </c>
      <c r="D65" s="78"/>
      <c r="E65" s="143">
        <f>E63+E64</f>
        <v>7275264.3110662969</v>
      </c>
      <c r="F65" s="89"/>
    </row>
    <row r="66" spans="3:6">
      <c r="C66" s="106"/>
      <c r="D66" s="78"/>
      <c r="E66" s="145"/>
      <c r="F66" s="89"/>
    </row>
    <row r="67" spans="3:6">
      <c r="C67" s="87" t="s">
        <v>172</v>
      </c>
      <c r="D67" s="78"/>
      <c r="E67" s="143">
        <f>'Fig PIII.3 and PIII.11 left'!E50</f>
        <v>-387749.84512116702</v>
      </c>
      <c r="F67" s="89"/>
    </row>
    <row r="68" spans="3:6">
      <c r="C68" s="87" t="s">
        <v>114</v>
      </c>
      <c r="D68" s="78"/>
      <c r="E68" s="141">
        <f>-'Fig PIII.9'!I20</f>
        <v>0</v>
      </c>
      <c r="F68" s="89"/>
    </row>
    <row r="69" spans="3:6">
      <c r="C69" s="106"/>
      <c r="D69" s="78"/>
      <c r="E69" s="146"/>
      <c r="F69" s="89"/>
    </row>
    <row r="70" spans="3:6" ht="20.25" customHeight="1" thickBot="1">
      <c r="C70" s="88" t="s">
        <v>41</v>
      </c>
      <c r="D70" s="85"/>
      <c r="E70" s="147">
        <f>E65+E67+E68</f>
        <v>6887514.4659451302</v>
      </c>
      <c r="F70" s="90"/>
    </row>
    <row r="71" spans="3:6" ht="12.5" thickTop="1"/>
  </sheetData>
  <mergeCells count="3">
    <mergeCell ref="D23:K23"/>
    <mergeCell ref="B39:K39"/>
    <mergeCell ref="C61:F61"/>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C0B79-431F-487C-BD5D-88F4B1F7EE3A}">
  <dimension ref="B1:J194"/>
  <sheetViews>
    <sheetView topLeftCell="A5" zoomScaleNormal="100" workbookViewId="0">
      <selection activeCell="A23" sqref="A23"/>
    </sheetView>
  </sheetViews>
  <sheetFormatPr defaultColWidth="9" defaultRowHeight="12"/>
  <cols>
    <col min="1" max="1" width="2.6328125" style="3" customWidth="1"/>
    <col min="2" max="2" width="18.7265625" style="3" customWidth="1"/>
    <col min="3" max="9" width="8.6328125" style="3" customWidth="1"/>
    <col min="10" max="10" width="1.6328125" style="3" customWidth="1"/>
    <col min="11" max="11" width="10.6328125" style="3" bestFit="1" customWidth="1"/>
    <col min="12" max="16384" width="9" style="3"/>
  </cols>
  <sheetData>
    <row r="1" spans="2:9">
      <c r="B1" s="2"/>
    </row>
    <row r="2" spans="2:9">
      <c r="B2" s="66" t="s">
        <v>79</v>
      </c>
      <c r="E2" s="7"/>
    </row>
    <row r="3" spans="2:9">
      <c r="B3" s="68" t="s">
        <v>8</v>
      </c>
      <c r="E3" s="73">
        <v>6700000</v>
      </c>
      <c r="G3" s="72" t="s">
        <v>10</v>
      </c>
      <c r="I3" s="20">
        <v>0.15</v>
      </c>
    </row>
    <row r="4" spans="2:9">
      <c r="B4" s="69" t="s">
        <v>21</v>
      </c>
      <c r="C4" s="8"/>
      <c r="E4" s="73">
        <v>5000000</v>
      </c>
      <c r="G4" s="72" t="s">
        <v>12</v>
      </c>
      <c r="I4" s="20">
        <v>0.21</v>
      </c>
    </row>
    <row r="5" spans="2:9">
      <c r="B5" s="70" t="s">
        <v>20</v>
      </c>
      <c r="C5" s="8"/>
      <c r="E5" s="104">
        <f>E3-E4</f>
        <v>1700000</v>
      </c>
      <c r="G5" s="72" t="s">
        <v>11</v>
      </c>
      <c r="I5" s="20">
        <v>0.25</v>
      </c>
    </row>
    <row r="6" spans="2:9">
      <c r="B6" s="67"/>
      <c r="G6" s="68" t="s">
        <v>9</v>
      </c>
      <c r="I6" s="73">
        <v>1150000</v>
      </c>
    </row>
    <row r="7" spans="2:9">
      <c r="B7" s="70" t="s">
        <v>22</v>
      </c>
      <c r="C7" s="8"/>
      <c r="E7" s="19">
        <v>0.05</v>
      </c>
      <c r="G7" s="69" t="s">
        <v>81</v>
      </c>
      <c r="I7" s="105">
        <f>E3-I6</f>
        <v>5550000</v>
      </c>
    </row>
    <row r="8" spans="2:9">
      <c r="B8" s="67" t="s">
        <v>84</v>
      </c>
      <c r="E8" s="22">
        <v>20</v>
      </c>
      <c r="G8" s="70" t="s">
        <v>82</v>
      </c>
      <c r="I8" s="21">
        <v>27.5</v>
      </c>
    </row>
    <row r="9" spans="2:9">
      <c r="B9" s="70" t="s">
        <v>83</v>
      </c>
      <c r="C9" s="8"/>
      <c r="E9" s="104">
        <f>-PMT(E7,E8,E4)</f>
        <v>401212.93595345656</v>
      </c>
    </row>
    <row r="10" spans="2:9">
      <c r="B10" s="70" t="s">
        <v>80</v>
      </c>
      <c r="C10" s="8"/>
      <c r="E10" s="19">
        <v>0</v>
      </c>
      <c r="G10" s="70" t="s">
        <v>88</v>
      </c>
      <c r="I10" s="20">
        <v>0.1</v>
      </c>
    </row>
    <row r="11" spans="2:9">
      <c r="B11" s="71" t="s">
        <v>86</v>
      </c>
      <c r="E11" s="27">
        <v>7</v>
      </c>
    </row>
    <row r="12" spans="2:9">
      <c r="B12" s="67"/>
    </row>
    <row r="13" spans="2:9">
      <c r="B13" s="70" t="s">
        <v>14</v>
      </c>
      <c r="C13" s="8"/>
      <c r="E13" s="73">
        <v>1000000</v>
      </c>
    </row>
    <row r="14" spans="2:9">
      <c r="B14" s="70" t="s">
        <v>15</v>
      </c>
      <c r="C14" s="8"/>
      <c r="E14" s="20">
        <v>0.03</v>
      </c>
    </row>
    <row r="15" spans="2:9">
      <c r="B15" s="72" t="s">
        <v>16</v>
      </c>
      <c r="C15" s="8"/>
      <c r="E15" s="20">
        <v>0.05</v>
      </c>
    </row>
    <row r="16" spans="2:9">
      <c r="B16" s="70" t="s">
        <v>17</v>
      </c>
      <c r="C16" s="8"/>
      <c r="E16" s="19">
        <v>0.05</v>
      </c>
    </row>
    <row r="17" spans="2:10">
      <c r="B17" s="72" t="s">
        <v>18</v>
      </c>
      <c r="C17" s="8"/>
      <c r="E17" s="19">
        <v>0.14000000000000001</v>
      </c>
    </row>
    <row r="18" spans="2:10">
      <c r="B18" s="70" t="s">
        <v>19</v>
      </c>
      <c r="C18" s="8"/>
      <c r="E18" s="19">
        <v>0.03</v>
      </c>
    </row>
    <row r="19" spans="2:10">
      <c r="B19" s="67" t="s">
        <v>33</v>
      </c>
      <c r="E19" s="24">
        <v>4.4999999999999998E-2</v>
      </c>
    </row>
    <row r="20" spans="2:10">
      <c r="B20" s="70" t="s">
        <v>13</v>
      </c>
      <c r="C20" s="8"/>
      <c r="E20" s="20">
        <v>0.08</v>
      </c>
    </row>
    <row r="21" spans="2:10">
      <c r="B21" s="70" t="s">
        <v>87</v>
      </c>
      <c r="C21" s="8"/>
      <c r="E21" s="20">
        <v>0.02</v>
      </c>
    </row>
    <row r="23" spans="2:10" ht="12.5" thickBot="1">
      <c r="B23" s="156" t="s">
        <v>148</v>
      </c>
    </row>
    <row r="24" spans="2:10" ht="13" thickTop="1" thickBot="1">
      <c r="B24" s="363" t="s">
        <v>127</v>
      </c>
      <c r="C24" s="364"/>
      <c r="D24" s="364"/>
      <c r="E24" s="364"/>
      <c r="F24" s="364"/>
      <c r="G24" s="364"/>
      <c r="H24" s="364"/>
      <c r="I24" s="364"/>
      <c r="J24" s="365"/>
    </row>
    <row r="25" spans="2:10" ht="12.5" thickTop="1">
      <c r="B25" s="77"/>
      <c r="C25" s="78"/>
      <c r="D25" s="78"/>
      <c r="E25" s="78"/>
      <c r="F25" s="79"/>
      <c r="G25" s="79"/>
      <c r="H25" s="79"/>
      <c r="I25" s="79"/>
      <c r="J25" s="89"/>
    </row>
    <row r="26" spans="2:10">
      <c r="B26" s="183" t="s">
        <v>89</v>
      </c>
      <c r="C26" s="97">
        <v>1</v>
      </c>
      <c r="D26" s="97">
        <v>2</v>
      </c>
      <c r="E26" s="97">
        <v>3</v>
      </c>
      <c r="F26" s="97">
        <v>4</v>
      </c>
      <c r="G26" s="97">
        <v>5</v>
      </c>
      <c r="H26" s="97">
        <v>6</v>
      </c>
      <c r="I26" s="97">
        <v>7</v>
      </c>
      <c r="J26" s="187"/>
    </row>
    <row r="27" spans="2:10">
      <c r="B27" s="184">
        <f>E4</f>
        <v>5000000</v>
      </c>
      <c r="C27" s="75"/>
      <c r="D27" s="75"/>
      <c r="E27" s="75"/>
      <c r="F27" s="75"/>
      <c r="G27" s="75"/>
      <c r="H27" s="75"/>
      <c r="I27" s="75"/>
      <c r="J27" s="188"/>
    </row>
    <row r="28" spans="2:10">
      <c r="B28" s="184"/>
      <c r="C28" s="75"/>
      <c r="D28" s="75"/>
      <c r="E28" s="75"/>
      <c r="F28" s="75"/>
      <c r="G28" s="75"/>
      <c r="H28" s="75"/>
      <c r="I28" s="75"/>
      <c r="J28" s="188"/>
    </row>
    <row r="29" spans="2:10">
      <c r="B29" s="87" t="s">
        <v>121</v>
      </c>
      <c r="C29" s="185">
        <f>B27</f>
        <v>5000000</v>
      </c>
      <c r="D29" s="185">
        <f t="shared" ref="D29:I29" si="0">C37</f>
        <v>4500000</v>
      </c>
      <c r="E29" s="185">
        <f t="shared" si="0"/>
        <v>4000000</v>
      </c>
      <c r="F29" s="185">
        <f t="shared" si="0"/>
        <v>3500000</v>
      </c>
      <c r="G29" s="185">
        <f t="shared" si="0"/>
        <v>3000000</v>
      </c>
      <c r="H29" s="185">
        <f t="shared" si="0"/>
        <v>2500000</v>
      </c>
      <c r="I29" s="185">
        <f t="shared" si="0"/>
        <v>2000000</v>
      </c>
      <c r="J29" s="189"/>
    </row>
    <row r="30" spans="2:10">
      <c r="B30" s="87"/>
      <c r="C30" s="163"/>
      <c r="D30" s="81"/>
      <c r="E30" s="81"/>
      <c r="F30" s="81"/>
      <c r="G30" s="81"/>
      <c r="H30" s="81"/>
      <c r="I30" s="81"/>
      <c r="J30" s="190"/>
    </row>
    <row r="31" spans="2:10">
      <c r="B31" s="87" t="s">
        <v>5</v>
      </c>
      <c r="C31" s="98">
        <f>E7*B27</f>
        <v>250000</v>
      </c>
      <c r="D31" s="98">
        <f t="shared" ref="D31:I31" si="1">$E$7*C37</f>
        <v>225000</v>
      </c>
      <c r="E31" s="98">
        <f t="shared" si="1"/>
        <v>200000</v>
      </c>
      <c r="F31" s="98">
        <f t="shared" si="1"/>
        <v>175000</v>
      </c>
      <c r="G31" s="98">
        <f t="shared" si="1"/>
        <v>150000</v>
      </c>
      <c r="H31" s="98">
        <f t="shared" si="1"/>
        <v>125000</v>
      </c>
      <c r="I31" s="98">
        <f t="shared" si="1"/>
        <v>100000</v>
      </c>
      <c r="J31" s="191"/>
    </row>
    <row r="32" spans="2:10">
      <c r="B32" s="87" t="s">
        <v>6</v>
      </c>
      <c r="C32" s="99">
        <v>500000</v>
      </c>
      <c r="D32" s="99">
        <v>500000</v>
      </c>
      <c r="E32" s="99">
        <v>500000</v>
      </c>
      <c r="F32" s="99">
        <v>500000</v>
      </c>
      <c r="G32" s="99">
        <v>500000</v>
      </c>
      <c r="H32" s="99">
        <v>500000</v>
      </c>
      <c r="I32" s="99">
        <v>500000</v>
      </c>
      <c r="J32" s="192"/>
    </row>
    <row r="33" spans="2:10">
      <c r="B33" s="87" t="s">
        <v>43</v>
      </c>
      <c r="C33" s="82">
        <f>SUM(C31:C32)</f>
        <v>750000</v>
      </c>
      <c r="D33" s="82">
        <f t="shared" ref="D33:I33" si="2">SUM(D31:D32)</f>
        <v>725000</v>
      </c>
      <c r="E33" s="82">
        <f t="shared" si="2"/>
        <v>700000</v>
      </c>
      <c r="F33" s="82">
        <f t="shared" si="2"/>
        <v>675000</v>
      </c>
      <c r="G33" s="82">
        <f t="shared" si="2"/>
        <v>650000</v>
      </c>
      <c r="H33" s="82">
        <f t="shared" si="2"/>
        <v>625000</v>
      </c>
      <c r="I33" s="82">
        <f t="shared" si="2"/>
        <v>600000</v>
      </c>
      <c r="J33" s="193"/>
    </row>
    <row r="34" spans="2:10">
      <c r="B34" s="87"/>
      <c r="C34" s="82"/>
      <c r="D34" s="82"/>
      <c r="E34" s="82"/>
      <c r="F34" s="82"/>
      <c r="G34" s="82"/>
      <c r="H34" s="82"/>
      <c r="I34" s="82"/>
      <c r="J34" s="193"/>
    </row>
    <row r="35" spans="2:10">
      <c r="B35" s="87" t="s">
        <v>124</v>
      </c>
      <c r="C35" s="82"/>
      <c r="D35" s="82"/>
      <c r="E35" s="82"/>
      <c r="F35" s="82"/>
      <c r="G35" s="82"/>
      <c r="H35" s="82"/>
      <c r="I35" s="98">
        <f>I29-I32</f>
        <v>1500000</v>
      </c>
      <c r="J35" s="193"/>
    </row>
    <row r="36" spans="2:10">
      <c r="B36" s="87"/>
      <c r="C36" s="98"/>
      <c r="D36" s="98"/>
      <c r="E36" s="98"/>
      <c r="F36" s="98"/>
      <c r="G36" s="98"/>
      <c r="H36" s="98"/>
      <c r="I36" s="98"/>
      <c r="J36" s="191"/>
    </row>
    <row r="37" spans="2:10" ht="20.25" customHeight="1" thickBot="1">
      <c r="B37" s="88" t="s">
        <v>122</v>
      </c>
      <c r="C37" s="186">
        <f>B27-C32</f>
        <v>4500000</v>
      </c>
      <c r="D37" s="186">
        <f>C37-D32-D35</f>
        <v>4000000</v>
      </c>
      <c r="E37" s="186">
        <f t="shared" ref="E37:I37" si="3">D37-E32-E35</f>
        <v>3500000</v>
      </c>
      <c r="F37" s="186">
        <f t="shared" si="3"/>
        <v>3000000</v>
      </c>
      <c r="G37" s="186">
        <f t="shared" si="3"/>
        <v>2500000</v>
      </c>
      <c r="H37" s="186">
        <f t="shared" si="3"/>
        <v>2000000</v>
      </c>
      <c r="I37" s="186">
        <f t="shared" si="3"/>
        <v>0</v>
      </c>
      <c r="J37" s="194"/>
    </row>
    <row r="38" spans="2:10" ht="12.5" thickTop="1"/>
    <row r="63" spans="2:5">
      <c r="B63" s="2"/>
      <c r="C63" s="8"/>
      <c r="E63" s="11"/>
    </row>
    <row r="68" spans="2:5">
      <c r="B68" s="5"/>
      <c r="C68" s="8"/>
      <c r="E68" s="6"/>
    </row>
    <row r="71" spans="2:5">
      <c r="B71" s="2"/>
      <c r="C71" s="8"/>
      <c r="E71" s="4"/>
    </row>
    <row r="73" spans="2:5">
      <c r="B73" s="5"/>
      <c r="C73" s="8"/>
      <c r="E73" s="10"/>
    </row>
    <row r="74" spans="2:5">
      <c r="B74" s="5"/>
      <c r="C74" s="8"/>
      <c r="E74" s="9"/>
    </row>
    <row r="75" spans="2:5">
      <c r="B75" s="5"/>
      <c r="C75" s="8"/>
      <c r="E75" s="12"/>
    </row>
    <row r="78" spans="2:5">
      <c r="C78" s="8"/>
    </row>
    <row r="79" spans="2:5">
      <c r="C79" s="8"/>
    </row>
    <row r="80" spans="2:5">
      <c r="C80" s="8"/>
    </row>
    <row r="81" spans="2:3">
      <c r="C81" s="8"/>
    </row>
    <row r="82" spans="2:3">
      <c r="C82" s="8"/>
    </row>
    <row r="83" spans="2:3">
      <c r="C83" s="8"/>
    </row>
    <row r="84" spans="2:3">
      <c r="C84" s="8"/>
    </row>
    <row r="85" spans="2:3">
      <c r="B85" s="8"/>
      <c r="C85" s="8"/>
    </row>
    <row r="86" spans="2:3">
      <c r="B86" s="8"/>
      <c r="C86" s="8"/>
    </row>
    <row r="87" spans="2:3">
      <c r="B87" s="8"/>
      <c r="C87" s="8"/>
    </row>
    <row r="88" spans="2:3">
      <c r="B88" s="8"/>
      <c r="C88" s="8"/>
    </row>
    <row r="89" spans="2:3">
      <c r="B89" s="8"/>
      <c r="C89" s="8"/>
    </row>
    <row r="90" spans="2:3">
      <c r="B90" s="8"/>
      <c r="C90" s="8"/>
    </row>
    <row r="91" spans="2:3">
      <c r="B91" s="8"/>
      <c r="C91" s="8"/>
    </row>
    <row r="92" spans="2:3">
      <c r="B92" s="8"/>
      <c r="C92" s="8"/>
    </row>
    <row r="93" spans="2:3">
      <c r="B93" s="8"/>
      <c r="C93" s="8"/>
    </row>
    <row r="94" spans="2:3">
      <c r="B94" s="8"/>
      <c r="C94" s="8"/>
    </row>
    <row r="95" spans="2:3">
      <c r="B95" s="8"/>
      <c r="C95" s="8"/>
    </row>
    <row r="96" spans="2:3">
      <c r="B96" s="8"/>
      <c r="C96" s="8"/>
    </row>
    <row r="97" spans="2:3">
      <c r="B97" s="8"/>
      <c r="C97" s="8"/>
    </row>
    <row r="98" spans="2:3">
      <c r="B98" s="8"/>
      <c r="C98" s="8"/>
    </row>
    <row r="99" spans="2:3">
      <c r="B99" s="8"/>
      <c r="C99" s="8"/>
    </row>
    <row r="100" spans="2:3">
      <c r="B100" s="8"/>
      <c r="C100" s="8"/>
    </row>
    <row r="101" spans="2:3">
      <c r="B101" s="8"/>
      <c r="C101" s="8"/>
    </row>
    <row r="102" spans="2:3">
      <c r="B102" s="8"/>
      <c r="C102" s="8"/>
    </row>
    <row r="103" spans="2:3">
      <c r="B103" s="8"/>
      <c r="C103" s="8"/>
    </row>
    <row r="104" spans="2:3">
      <c r="B104" s="8"/>
      <c r="C104" s="8"/>
    </row>
    <row r="105" spans="2:3">
      <c r="B105" s="8"/>
      <c r="C105" s="8"/>
    </row>
    <row r="106" spans="2:3">
      <c r="B106" s="8"/>
      <c r="C106" s="8"/>
    </row>
    <row r="107" spans="2:3">
      <c r="B107" s="8"/>
      <c r="C107" s="8"/>
    </row>
    <row r="108" spans="2:3">
      <c r="B108" s="8"/>
      <c r="C108" s="8"/>
    </row>
    <row r="109" spans="2:3">
      <c r="B109" s="8"/>
      <c r="C109" s="8"/>
    </row>
    <row r="110" spans="2:3">
      <c r="B110" s="8"/>
      <c r="C110" s="8"/>
    </row>
    <row r="111" spans="2:3">
      <c r="B111" s="8"/>
      <c r="C111" s="8"/>
    </row>
    <row r="112" spans="2:3">
      <c r="B112" s="8"/>
      <c r="C112" s="8"/>
    </row>
    <row r="113" spans="2:3">
      <c r="B113" s="8"/>
      <c r="C113" s="8"/>
    </row>
    <row r="114" spans="2:3">
      <c r="B114" s="8"/>
      <c r="C114" s="8"/>
    </row>
    <row r="115" spans="2:3">
      <c r="B115" s="8"/>
      <c r="C115" s="8"/>
    </row>
    <row r="116" spans="2:3">
      <c r="B116" s="8"/>
      <c r="C116" s="8"/>
    </row>
    <row r="117" spans="2:3">
      <c r="B117" s="8"/>
      <c r="C117" s="8"/>
    </row>
    <row r="118" spans="2:3">
      <c r="B118" s="8"/>
      <c r="C118" s="8"/>
    </row>
    <row r="119" spans="2:3">
      <c r="B119" s="8"/>
      <c r="C119" s="8"/>
    </row>
    <row r="120" spans="2:3">
      <c r="B120" s="8"/>
      <c r="C120" s="8"/>
    </row>
    <row r="121" spans="2:3">
      <c r="B121" s="8"/>
      <c r="C121" s="8"/>
    </row>
    <row r="122" spans="2:3">
      <c r="B122" s="8"/>
      <c r="C122" s="8"/>
    </row>
    <row r="123" spans="2:3">
      <c r="B123" s="8"/>
      <c r="C123" s="8"/>
    </row>
    <row r="124" spans="2:3">
      <c r="B124" s="8"/>
      <c r="C124" s="8"/>
    </row>
    <row r="125" spans="2:3">
      <c r="B125" s="8"/>
      <c r="C125" s="8"/>
    </row>
    <row r="126" spans="2:3">
      <c r="B126" s="8"/>
      <c r="C126" s="8"/>
    </row>
    <row r="127" spans="2:3">
      <c r="B127" s="8"/>
      <c r="C127" s="8"/>
    </row>
    <row r="128" spans="2:3">
      <c r="B128" s="8"/>
      <c r="C128" s="8"/>
    </row>
    <row r="129" spans="2:3">
      <c r="B129" s="8"/>
      <c r="C129" s="8"/>
    </row>
    <row r="130" spans="2:3">
      <c r="B130" s="8"/>
      <c r="C130" s="8"/>
    </row>
    <row r="131" spans="2:3">
      <c r="B131" s="8"/>
      <c r="C131" s="8"/>
    </row>
    <row r="132" spans="2:3">
      <c r="B132" s="8"/>
      <c r="C132" s="8"/>
    </row>
    <row r="133" spans="2:3">
      <c r="B133" s="8"/>
      <c r="C133" s="8"/>
    </row>
    <row r="134" spans="2:3">
      <c r="B134" s="8"/>
      <c r="C134" s="8"/>
    </row>
    <row r="135" spans="2:3">
      <c r="B135" s="8"/>
      <c r="C135" s="8"/>
    </row>
    <row r="136" spans="2:3">
      <c r="B136" s="8"/>
      <c r="C136" s="8"/>
    </row>
    <row r="137" spans="2:3">
      <c r="B137" s="8"/>
      <c r="C137" s="8"/>
    </row>
    <row r="138" spans="2:3">
      <c r="B138" s="8"/>
      <c r="C138" s="8"/>
    </row>
    <row r="139" spans="2:3">
      <c r="B139" s="8"/>
      <c r="C139" s="8"/>
    </row>
    <row r="140" spans="2:3">
      <c r="B140" s="8"/>
      <c r="C140" s="8"/>
    </row>
    <row r="141" spans="2:3">
      <c r="B141" s="8"/>
      <c r="C141" s="8"/>
    </row>
    <row r="142" spans="2:3">
      <c r="B142" s="8"/>
      <c r="C142" s="8"/>
    </row>
    <row r="143" spans="2:3">
      <c r="B143" s="8"/>
      <c r="C143" s="8"/>
    </row>
    <row r="144" spans="2:3">
      <c r="B144" s="8"/>
      <c r="C144" s="8"/>
    </row>
    <row r="145" spans="2:3">
      <c r="B145" s="8"/>
      <c r="C145" s="8"/>
    </row>
    <row r="146" spans="2:3">
      <c r="B146" s="8"/>
      <c r="C146" s="8"/>
    </row>
    <row r="147" spans="2:3">
      <c r="B147" s="8"/>
      <c r="C147" s="8"/>
    </row>
    <row r="148" spans="2:3">
      <c r="B148" s="8"/>
      <c r="C148" s="8"/>
    </row>
    <row r="149" spans="2:3">
      <c r="B149" s="8"/>
      <c r="C149" s="8"/>
    </row>
    <row r="150" spans="2:3">
      <c r="B150" s="8"/>
      <c r="C150" s="8"/>
    </row>
    <row r="151" spans="2:3">
      <c r="B151" s="8"/>
      <c r="C151" s="8"/>
    </row>
    <row r="152" spans="2:3">
      <c r="B152" s="8"/>
      <c r="C152" s="8"/>
    </row>
    <row r="153" spans="2:3">
      <c r="B153" s="8"/>
      <c r="C153" s="8"/>
    </row>
    <row r="154" spans="2:3">
      <c r="B154" s="8"/>
      <c r="C154" s="8"/>
    </row>
    <row r="155" spans="2:3">
      <c r="B155" s="8"/>
      <c r="C155" s="8"/>
    </row>
    <row r="156" spans="2:3">
      <c r="B156" s="8"/>
      <c r="C156" s="8"/>
    </row>
    <row r="157" spans="2:3">
      <c r="B157" s="8"/>
      <c r="C157" s="8"/>
    </row>
    <row r="158" spans="2:3">
      <c r="B158" s="8"/>
      <c r="C158" s="8"/>
    </row>
    <row r="159" spans="2:3">
      <c r="B159" s="8"/>
      <c r="C159" s="8"/>
    </row>
    <row r="160" spans="2:3">
      <c r="B160" s="8"/>
      <c r="C160" s="8"/>
    </row>
    <row r="161" spans="2:3">
      <c r="B161" s="8"/>
      <c r="C161" s="8"/>
    </row>
    <row r="162" spans="2:3">
      <c r="B162" s="8"/>
      <c r="C162" s="8"/>
    </row>
    <row r="163" spans="2:3">
      <c r="B163" s="8"/>
      <c r="C163" s="8"/>
    </row>
    <row r="164" spans="2:3">
      <c r="B164" s="8"/>
      <c r="C164" s="8"/>
    </row>
    <row r="165" spans="2:3">
      <c r="B165" s="8"/>
      <c r="C165" s="8"/>
    </row>
    <row r="166" spans="2:3">
      <c r="B166" s="8"/>
      <c r="C166" s="8"/>
    </row>
    <row r="167" spans="2:3">
      <c r="B167" s="8"/>
      <c r="C167" s="8"/>
    </row>
    <row r="168" spans="2:3">
      <c r="B168" s="8"/>
      <c r="C168" s="8"/>
    </row>
    <row r="169" spans="2:3">
      <c r="B169" s="8"/>
      <c r="C169" s="8"/>
    </row>
    <row r="170" spans="2:3">
      <c r="B170" s="8"/>
      <c r="C170" s="8"/>
    </row>
    <row r="171" spans="2:3">
      <c r="B171" s="8"/>
      <c r="C171" s="8"/>
    </row>
    <row r="172" spans="2:3">
      <c r="B172" s="8"/>
      <c r="C172" s="8"/>
    </row>
    <row r="173" spans="2:3">
      <c r="B173" s="8"/>
      <c r="C173" s="8"/>
    </row>
    <row r="174" spans="2:3">
      <c r="B174" s="8"/>
      <c r="C174" s="8"/>
    </row>
    <row r="175" spans="2:3">
      <c r="B175" s="8"/>
      <c r="C175" s="8"/>
    </row>
    <row r="176" spans="2:3">
      <c r="B176" s="8"/>
      <c r="C176" s="8"/>
    </row>
    <row r="177" spans="2:3">
      <c r="B177" s="8"/>
      <c r="C177" s="8"/>
    </row>
    <row r="178" spans="2:3">
      <c r="B178" s="8"/>
      <c r="C178" s="8"/>
    </row>
    <row r="179" spans="2:3">
      <c r="B179" s="8"/>
      <c r="C179" s="8"/>
    </row>
    <row r="180" spans="2:3">
      <c r="B180" s="8"/>
      <c r="C180" s="8"/>
    </row>
    <row r="181" spans="2:3">
      <c r="B181" s="8"/>
      <c r="C181" s="8"/>
    </row>
    <row r="182" spans="2:3">
      <c r="B182" s="8"/>
      <c r="C182" s="8"/>
    </row>
    <row r="183" spans="2:3">
      <c r="B183" s="8"/>
      <c r="C183" s="8"/>
    </row>
    <row r="184" spans="2:3">
      <c r="B184" s="8"/>
      <c r="C184" s="8"/>
    </row>
    <row r="185" spans="2:3">
      <c r="B185" s="8"/>
      <c r="C185" s="8"/>
    </row>
    <row r="186" spans="2:3">
      <c r="B186" s="8"/>
      <c r="C186" s="8"/>
    </row>
    <row r="187" spans="2:3">
      <c r="B187" s="8"/>
      <c r="C187" s="8"/>
    </row>
    <row r="188" spans="2:3">
      <c r="B188" s="8"/>
      <c r="C188" s="8"/>
    </row>
    <row r="189" spans="2:3">
      <c r="B189" s="8"/>
      <c r="C189" s="8"/>
    </row>
    <row r="190" spans="2:3">
      <c r="B190" s="8"/>
      <c r="C190" s="8"/>
    </row>
    <row r="191" spans="2:3">
      <c r="B191" s="8"/>
      <c r="C191" s="8"/>
    </row>
    <row r="192" spans="2:3">
      <c r="B192" s="8"/>
      <c r="C192" s="8"/>
    </row>
    <row r="193" spans="2:3">
      <c r="B193" s="8"/>
      <c r="C193" s="8"/>
    </row>
    <row r="194" spans="2:3">
      <c r="B194" s="8"/>
      <c r="C194" s="8"/>
    </row>
  </sheetData>
  <mergeCells count="1">
    <mergeCell ref="B24:J2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Q58"/>
  <sheetViews>
    <sheetView zoomScaleNormal="100" workbookViewId="0">
      <selection activeCell="A26" sqref="A26"/>
    </sheetView>
  </sheetViews>
  <sheetFormatPr defaultColWidth="9.08984375" defaultRowHeight="12.5" outlineLevelRow="1"/>
  <cols>
    <col min="1" max="2" width="2.6328125" style="1" customWidth="1"/>
    <col min="3" max="3" width="16.6328125" style="1" customWidth="1"/>
    <col min="4" max="4" width="9.7265625" style="1" bestFit="1" customWidth="1"/>
    <col min="5" max="8" width="8.6328125" style="1" customWidth="1"/>
    <col min="9" max="9" width="10.08984375" style="1" customWidth="1"/>
    <col min="10" max="15" width="8.6328125" style="1" customWidth="1"/>
    <col min="16" max="16" width="1.6328125" style="1" customWidth="1"/>
    <col min="17" max="17" width="14" style="1" bestFit="1" customWidth="1"/>
    <col min="18" max="16384" width="9.08984375" style="1"/>
  </cols>
  <sheetData>
    <row r="2" spans="2:17" ht="13">
      <c r="B2" s="268" t="s">
        <v>79</v>
      </c>
      <c r="C2" s="327"/>
      <c r="D2" s="34"/>
      <c r="E2" s="34"/>
      <c r="F2" s="34"/>
      <c r="G2" s="34"/>
      <c r="H2" s="34"/>
      <c r="I2" s="34"/>
      <c r="J2" s="34"/>
      <c r="K2" s="34"/>
      <c r="L2" s="34"/>
      <c r="M2" s="34"/>
      <c r="N2" s="34"/>
      <c r="O2" s="34"/>
    </row>
    <row r="3" spans="2:17" ht="13">
      <c r="B3" s="327" t="s">
        <v>91</v>
      </c>
      <c r="C3" s="304"/>
      <c r="D3" s="36">
        <v>3600000</v>
      </c>
      <c r="E3" s="34"/>
      <c r="F3" s="34"/>
      <c r="G3" s="34"/>
      <c r="H3" s="34"/>
      <c r="I3" s="34"/>
      <c r="J3" s="34"/>
      <c r="K3" s="34"/>
      <c r="L3" s="34"/>
      <c r="M3" s="34"/>
      <c r="N3" s="34"/>
      <c r="O3" s="34"/>
    </row>
    <row r="4" spans="2:17" ht="13">
      <c r="B4" s="327" t="s">
        <v>44</v>
      </c>
      <c r="C4" s="304"/>
      <c r="D4" s="38">
        <v>0.03</v>
      </c>
      <c r="E4" s="34"/>
      <c r="F4" s="34"/>
      <c r="G4" s="34"/>
      <c r="H4" s="34"/>
      <c r="I4" s="34"/>
      <c r="J4" s="34"/>
      <c r="K4" s="34"/>
      <c r="L4" s="34"/>
      <c r="M4" s="34"/>
      <c r="N4" s="34"/>
      <c r="O4" s="34"/>
    </row>
    <row r="5" spans="2:17" ht="13">
      <c r="B5" s="327" t="s">
        <v>92</v>
      </c>
      <c r="C5" s="304"/>
      <c r="D5" s="36">
        <v>4200000</v>
      </c>
      <c r="E5" s="339">
        <f>D5/D7</f>
        <v>0.66666666666666663</v>
      </c>
      <c r="F5" s="34"/>
      <c r="G5" s="34"/>
      <c r="H5" s="34"/>
      <c r="I5" s="34"/>
      <c r="J5" s="34"/>
      <c r="K5" s="34"/>
      <c r="L5" s="34"/>
      <c r="M5" s="34"/>
      <c r="N5" s="34"/>
      <c r="O5" s="34"/>
    </row>
    <row r="6" spans="2:17" ht="13">
      <c r="B6" s="327" t="s">
        <v>90</v>
      </c>
      <c r="C6" s="304"/>
      <c r="D6" s="36">
        <v>2100000</v>
      </c>
      <c r="E6" s="338">
        <f>1-E5</f>
        <v>0.33333333333333337</v>
      </c>
      <c r="F6" s="34"/>
      <c r="G6" s="34"/>
      <c r="H6" s="34"/>
      <c r="I6" s="34"/>
      <c r="J6" s="34"/>
      <c r="K6" s="34"/>
      <c r="L6" s="34"/>
      <c r="M6" s="34"/>
      <c r="N6" s="34"/>
      <c r="O6" s="34"/>
    </row>
    <row r="7" spans="2:17" ht="13">
      <c r="B7" s="327" t="s">
        <v>93</v>
      </c>
      <c r="C7" s="304"/>
      <c r="D7" s="326">
        <f>SUM(D5:D6)</f>
        <v>6300000</v>
      </c>
      <c r="E7" s="34"/>
      <c r="F7" s="327" t="s">
        <v>103</v>
      </c>
      <c r="G7" s="341">
        <f>-SUM(D33+SUM(E53:O53))-D7</f>
        <v>0</v>
      </c>
      <c r="I7" s="34"/>
      <c r="J7" s="34"/>
      <c r="K7" s="34"/>
      <c r="L7" s="34"/>
      <c r="M7" s="34"/>
      <c r="N7" s="34"/>
      <c r="O7" s="34"/>
    </row>
    <row r="8" spans="2:17" ht="13">
      <c r="B8" s="327" t="s">
        <v>4</v>
      </c>
      <c r="C8" s="304"/>
      <c r="D8" s="38">
        <v>6.8000000000000005E-2</v>
      </c>
      <c r="E8" s="34"/>
      <c r="F8" s="34"/>
      <c r="G8" s="34"/>
      <c r="H8" s="34"/>
      <c r="I8" s="34"/>
      <c r="J8" s="34"/>
      <c r="K8" s="34"/>
      <c r="L8" s="34"/>
      <c r="M8" s="34"/>
      <c r="N8" s="34"/>
      <c r="O8" s="34"/>
    </row>
    <row r="9" spans="2:17" ht="13">
      <c r="B9" s="327"/>
      <c r="C9" s="304"/>
      <c r="D9" s="38"/>
      <c r="E9" s="34"/>
      <c r="F9" s="34"/>
      <c r="G9" s="34"/>
      <c r="H9" s="34"/>
      <c r="I9" s="34"/>
      <c r="J9" s="34"/>
      <c r="K9" s="34"/>
      <c r="L9" s="34"/>
      <c r="M9" s="34"/>
      <c r="N9" s="34"/>
      <c r="O9" s="34"/>
    </row>
    <row r="10" spans="2:17" ht="13">
      <c r="B10" s="327" t="s">
        <v>97</v>
      </c>
      <c r="C10" s="304"/>
      <c r="D10" s="38">
        <v>0.05</v>
      </c>
      <c r="E10" s="34"/>
      <c r="F10" s="34"/>
      <c r="G10" s="34"/>
      <c r="H10" s="34"/>
      <c r="I10" s="34"/>
      <c r="J10" s="34"/>
      <c r="K10" s="34"/>
      <c r="L10" s="34"/>
      <c r="M10" s="34"/>
      <c r="N10" s="34"/>
      <c r="O10" s="34"/>
    </row>
    <row r="11" spans="2:17" ht="13">
      <c r="B11" s="327" t="s">
        <v>45</v>
      </c>
      <c r="C11" s="304"/>
      <c r="D11" s="38">
        <v>0.03</v>
      </c>
      <c r="E11" s="34"/>
      <c r="F11" s="34"/>
      <c r="G11" s="35"/>
      <c r="H11" s="34"/>
      <c r="I11" s="34"/>
      <c r="J11" s="34"/>
      <c r="K11" s="34"/>
      <c r="L11" s="34"/>
      <c r="M11" s="34"/>
      <c r="N11" s="34"/>
      <c r="O11" s="34"/>
    </row>
    <row r="12" spans="2:17" ht="13">
      <c r="B12" s="327" t="s">
        <v>98</v>
      </c>
      <c r="C12" s="340"/>
      <c r="D12" s="38">
        <v>0.02</v>
      </c>
      <c r="E12" s="34"/>
      <c r="F12" s="34"/>
      <c r="G12" s="35"/>
      <c r="H12" s="34"/>
      <c r="I12" s="34"/>
      <c r="J12" s="34"/>
      <c r="K12" s="34"/>
      <c r="L12" s="34"/>
      <c r="M12" s="34"/>
      <c r="N12" s="34"/>
      <c r="O12" s="34"/>
    </row>
    <row r="13" spans="2:17" ht="13">
      <c r="B13" s="34"/>
      <c r="C13" s="304"/>
      <c r="D13" s="304"/>
      <c r="E13" s="305" t="s">
        <v>76</v>
      </c>
      <c r="F13" s="305" t="s">
        <v>76</v>
      </c>
      <c r="G13" s="305" t="s">
        <v>76</v>
      </c>
      <c r="H13" s="305" t="s">
        <v>76</v>
      </c>
      <c r="I13" s="305" t="s">
        <v>77</v>
      </c>
      <c r="J13" s="305" t="s">
        <v>77</v>
      </c>
      <c r="K13" s="305" t="s">
        <v>77</v>
      </c>
      <c r="L13" s="305" t="s">
        <v>77</v>
      </c>
      <c r="M13" s="305" t="s">
        <v>78</v>
      </c>
      <c r="N13" s="305" t="s">
        <v>78</v>
      </c>
      <c r="O13" s="305" t="s">
        <v>78</v>
      </c>
    </row>
    <row r="14" spans="2:17" ht="13">
      <c r="B14" s="269" t="s">
        <v>96</v>
      </c>
      <c r="C14" s="304"/>
      <c r="D14" s="304"/>
      <c r="E14" s="305" t="s">
        <v>64</v>
      </c>
      <c r="F14" s="305" t="s">
        <v>63</v>
      </c>
      <c r="G14" s="305" t="s">
        <v>62</v>
      </c>
      <c r="H14" s="305" t="s">
        <v>61</v>
      </c>
      <c r="I14" s="305" t="s">
        <v>64</v>
      </c>
      <c r="J14" s="305" t="s">
        <v>63</v>
      </c>
      <c r="K14" s="305" t="s">
        <v>62</v>
      </c>
      <c r="L14" s="305" t="s">
        <v>61</v>
      </c>
      <c r="M14" s="305" t="s">
        <v>64</v>
      </c>
      <c r="N14" s="305" t="s">
        <v>63</v>
      </c>
      <c r="O14" s="305" t="s">
        <v>62</v>
      </c>
    </row>
    <row r="15" spans="2:17" ht="13">
      <c r="B15" s="53" t="s">
        <v>131</v>
      </c>
      <c r="C15" s="39"/>
      <c r="D15" s="39"/>
      <c r="E15" s="39"/>
      <c r="F15" s="39"/>
      <c r="G15" s="39"/>
      <c r="H15" s="39"/>
      <c r="I15" s="39"/>
      <c r="J15" s="39"/>
      <c r="K15" s="39"/>
      <c r="L15" s="39"/>
      <c r="M15" s="62" t="s">
        <v>100</v>
      </c>
      <c r="N15" s="255"/>
      <c r="O15" s="40"/>
    </row>
    <row r="16" spans="2:17" ht="13">
      <c r="B16" s="41" t="s">
        <v>53</v>
      </c>
      <c r="C16" s="42"/>
      <c r="F16" s="42"/>
      <c r="G16" s="42"/>
      <c r="H16" s="43">
        <v>1</v>
      </c>
      <c r="I16" s="43">
        <v>1</v>
      </c>
      <c r="J16" s="43"/>
      <c r="K16" s="43"/>
      <c r="L16" s="43"/>
      <c r="M16" s="256">
        <v>2</v>
      </c>
      <c r="N16" s="44"/>
      <c r="O16" s="65"/>
      <c r="Q16" s="55"/>
    </row>
    <row r="17" spans="2:17" ht="13">
      <c r="B17" s="41" t="s">
        <v>52</v>
      </c>
      <c r="C17" s="42"/>
      <c r="F17" s="42"/>
      <c r="G17" s="42"/>
      <c r="H17" s="43">
        <v>1</v>
      </c>
      <c r="I17" s="43">
        <v>1</v>
      </c>
      <c r="J17" s="43"/>
      <c r="K17" s="43"/>
      <c r="L17" s="43"/>
      <c r="M17" s="257">
        <v>2</v>
      </c>
      <c r="N17" s="44"/>
      <c r="O17" s="65"/>
      <c r="Q17" s="55"/>
    </row>
    <row r="18" spans="2:17" ht="13">
      <c r="B18" s="41"/>
      <c r="C18" s="42"/>
      <c r="F18" s="42"/>
      <c r="G18" s="42"/>
      <c r="H18" s="42"/>
      <c r="I18" s="42"/>
      <c r="J18" s="42"/>
      <c r="K18" s="42"/>
      <c r="L18" s="42"/>
      <c r="M18" s="59"/>
      <c r="N18" s="44"/>
      <c r="O18" s="65"/>
    </row>
    <row r="19" spans="2:17" ht="13">
      <c r="B19" s="54" t="s">
        <v>130</v>
      </c>
      <c r="C19" s="46"/>
      <c r="F19" s="46"/>
      <c r="G19" s="46"/>
      <c r="H19" s="46"/>
      <c r="I19" s="46"/>
      <c r="J19" s="46"/>
      <c r="K19" s="46"/>
      <c r="L19" s="46"/>
      <c r="M19" s="63" t="s">
        <v>101</v>
      </c>
      <c r="N19" s="63"/>
      <c r="O19" s="65"/>
    </row>
    <row r="20" spans="2:17" ht="13">
      <c r="B20" s="41" t="s">
        <v>53</v>
      </c>
      <c r="C20" s="42"/>
      <c r="F20" s="42"/>
      <c r="G20" s="42"/>
      <c r="H20" s="42"/>
      <c r="I20" s="42"/>
      <c r="J20" s="42"/>
      <c r="K20" s="42"/>
      <c r="L20" s="42"/>
      <c r="M20" s="56">
        <v>5</v>
      </c>
      <c r="N20" s="57">
        <v>2</v>
      </c>
      <c r="O20" s="65"/>
      <c r="Q20" s="55"/>
    </row>
    <row r="21" spans="2:17" ht="13">
      <c r="B21" s="41" t="s">
        <v>52</v>
      </c>
      <c r="C21" s="42"/>
      <c r="F21" s="42"/>
      <c r="G21" s="42"/>
      <c r="H21" s="42"/>
      <c r="I21" s="42"/>
      <c r="J21" s="42"/>
      <c r="K21" s="42"/>
      <c r="L21" s="42"/>
      <c r="M21" s="58">
        <v>4</v>
      </c>
      <c r="N21" s="330">
        <v>2</v>
      </c>
      <c r="O21" s="65"/>
      <c r="Q21" s="55"/>
    </row>
    <row r="22" spans="2:17" ht="13">
      <c r="B22" s="41"/>
      <c r="C22" s="42"/>
      <c r="F22" s="42"/>
      <c r="G22" s="42"/>
      <c r="H22" s="42"/>
      <c r="I22" s="42"/>
      <c r="J22" s="42"/>
      <c r="K22" s="42"/>
      <c r="L22" s="42"/>
      <c r="M22" s="44"/>
      <c r="N22" s="44"/>
      <c r="O22" s="45"/>
      <c r="Q22" s="55"/>
    </row>
    <row r="23" spans="2:17" ht="13">
      <c r="B23" s="324" t="s">
        <v>51</v>
      </c>
      <c r="C23" s="304"/>
      <c r="D23" s="317" t="s">
        <v>50</v>
      </c>
      <c r="F23" s="46"/>
      <c r="G23" s="46"/>
      <c r="H23" s="46"/>
      <c r="I23" s="46"/>
      <c r="J23" s="46"/>
      <c r="K23" s="46"/>
      <c r="L23" s="46"/>
      <c r="M23" s="46"/>
      <c r="N23" s="46"/>
      <c r="O23" s="47"/>
    </row>
    <row r="24" spans="2:17" ht="13">
      <c r="B24" s="325" t="s">
        <v>49</v>
      </c>
      <c r="C24" s="304"/>
      <c r="D24" s="318">
        <f>AVERAGE(H24:M24)</f>
        <v>473109.07224000007</v>
      </c>
      <c r="F24" s="46"/>
      <c r="G24" s="46"/>
      <c r="H24" s="48">
        <v>450000</v>
      </c>
      <c r="I24" s="318">
        <f t="shared" ref="I24:M25" si="0">H24*(1+$D$12)</f>
        <v>459000</v>
      </c>
      <c r="J24" s="318">
        <f t="shared" si="0"/>
        <v>468180</v>
      </c>
      <c r="K24" s="318">
        <f t="shared" si="0"/>
        <v>477543.60000000003</v>
      </c>
      <c r="L24" s="318">
        <f t="shared" si="0"/>
        <v>487094.47200000007</v>
      </c>
      <c r="M24" s="318">
        <f t="shared" si="0"/>
        <v>496836.36144000007</v>
      </c>
      <c r="N24" s="46"/>
      <c r="O24" s="47"/>
      <c r="Q24" s="55"/>
    </row>
    <row r="25" spans="2:17" ht="13">
      <c r="B25" s="313" t="s">
        <v>48</v>
      </c>
      <c r="C25" s="320"/>
      <c r="D25" s="321">
        <f>AVERAGE(H25:M25)</f>
        <v>657095.93366666662</v>
      </c>
      <c r="E25" s="52"/>
      <c r="F25" s="50"/>
      <c r="G25" s="50"/>
      <c r="H25" s="51">
        <v>625000</v>
      </c>
      <c r="I25" s="321">
        <f t="shared" si="0"/>
        <v>637500</v>
      </c>
      <c r="J25" s="321">
        <f t="shared" si="0"/>
        <v>650250</v>
      </c>
      <c r="K25" s="321">
        <f t="shared" si="0"/>
        <v>663255</v>
      </c>
      <c r="L25" s="321">
        <f t="shared" si="0"/>
        <v>676520.1</v>
      </c>
      <c r="M25" s="321">
        <f t="shared" si="0"/>
        <v>690050.50199999998</v>
      </c>
      <c r="N25" s="50"/>
      <c r="O25" s="61"/>
    </row>
    <row r="26" spans="2:17" ht="13">
      <c r="B26" s="225"/>
      <c r="C26" s="370" t="s">
        <v>180</v>
      </c>
      <c r="D26" s="370"/>
      <c r="E26" s="370"/>
      <c r="F26" s="370"/>
      <c r="G26" s="370"/>
      <c r="H26" s="370"/>
      <c r="I26" s="370"/>
      <c r="J26" s="370"/>
      <c r="K26" s="370"/>
      <c r="L26" s="370"/>
      <c r="M26" s="370"/>
      <c r="N26" s="370"/>
      <c r="O26" s="370"/>
      <c r="P26" s="370"/>
    </row>
    <row r="27" spans="2:17" ht="13.5" thickBot="1">
      <c r="B27" s="226"/>
      <c r="C27" s="156" t="s">
        <v>149</v>
      </c>
    </row>
    <row r="28" spans="2:17" ht="15" customHeight="1" thickTop="1" thickBot="1">
      <c r="B28" s="226"/>
      <c r="C28" s="363" t="s">
        <v>129</v>
      </c>
      <c r="D28" s="364"/>
      <c r="E28" s="364"/>
      <c r="F28" s="364"/>
      <c r="G28" s="364"/>
      <c r="H28" s="364"/>
      <c r="I28" s="364"/>
      <c r="J28" s="364"/>
      <c r="K28" s="364"/>
      <c r="L28" s="364"/>
      <c r="M28" s="364"/>
      <c r="N28" s="364"/>
      <c r="O28" s="364"/>
      <c r="P28" s="365"/>
    </row>
    <row r="29" spans="2:17" ht="13.5" thickTop="1">
      <c r="B29" s="226"/>
      <c r="C29" s="229"/>
      <c r="D29" s="216"/>
      <c r="E29" s="216"/>
      <c r="F29" s="216"/>
      <c r="G29" s="216"/>
      <c r="H29" s="216"/>
      <c r="I29" s="216"/>
      <c r="J29" s="216"/>
      <c r="K29" s="216"/>
      <c r="L29" s="216"/>
      <c r="M29" s="216"/>
      <c r="N29" s="216"/>
      <c r="O29" s="216"/>
      <c r="P29" s="239"/>
    </row>
    <row r="30" spans="2:17" ht="13">
      <c r="B30" s="225"/>
      <c r="C30" s="232" t="s">
        <v>46</v>
      </c>
      <c r="D30" s="231" t="s">
        <v>67</v>
      </c>
      <c r="E30" s="216"/>
      <c r="F30" s="216"/>
      <c r="G30" s="216"/>
      <c r="H30" s="216"/>
      <c r="I30" s="216"/>
      <c r="J30" s="216"/>
      <c r="K30" s="216"/>
      <c r="L30" s="216"/>
      <c r="M30" s="216"/>
      <c r="N30" s="216"/>
      <c r="O30" s="216"/>
      <c r="P30" s="239"/>
    </row>
    <row r="31" spans="2:17" ht="13">
      <c r="B31" s="226"/>
      <c r="C31" s="232" t="s">
        <v>66</v>
      </c>
      <c r="D31" s="222">
        <f>-D3</f>
        <v>-3600000</v>
      </c>
      <c r="E31" s="216"/>
      <c r="F31" s="216"/>
      <c r="G31" s="216"/>
      <c r="H31" s="216"/>
      <c r="I31" s="216"/>
      <c r="J31" s="216"/>
      <c r="K31" s="216"/>
      <c r="L31" s="216"/>
      <c r="M31" s="216"/>
      <c r="N31" s="216"/>
      <c r="O31" s="216"/>
      <c r="P31" s="239"/>
    </row>
    <row r="32" spans="2:17" ht="13">
      <c r="B32" s="226"/>
      <c r="C32" s="232" t="s">
        <v>65</v>
      </c>
      <c r="D32" s="242">
        <f>D31*D4</f>
        <v>-108000</v>
      </c>
      <c r="E32" s="216"/>
      <c r="F32" s="216"/>
      <c r="G32" s="216"/>
      <c r="H32" s="216"/>
      <c r="I32" s="216"/>
      <c r="J32" s="216"/>
      <c r="K32" s="216"/>
      <c r="L32" s="216"/>
      <c r="M32" s="216"/>
      <c r="N32" s="216"/>
      <c r="O32" s="216"/>
      <c r="P32" s="239"/>
    </row>
    <row r="33" spans="2:16" ht="13">
      <c r="B33" s="226"/>
      <c r="C33" s="232" t="s">
        <v>55</v>
      </c>
      <c r="D33" s="222">
        <f>SUM(D31:D32)</f>
        <v>-3708000</v>
      </c>
      <c r="E33" s="216"/>
      <c r="F33" s="216"/>
      <c r="G33" s="216"/>
      <c r="H33" s="216"/>
      <c r="I33" s="216"/>
      <c r="J33" s="216"/>
      <c r="K33" s="216"/>
      <c r="L33" s="216"/>
      <c r="M33" s="216"/>
      <c r="N33" s="216"/>
      <c r="O33" s="216"/>
      <c r="P33" s="239"/>
    </row>
    <row r="34" spans="2:16" ht="13">
      <c r="B34" s="226"/>
      <c r="C34" s="232"/>
      <c r="D34" s="217"/>
      <c r="E34" s="216"/>
      <c r="F34" s="216"/>
      <c r="G34" s="216"/>
      <c r="H34" s="216"/>
      <c r="I34" s="216"/>
      <c r="J34" s="216"/>
      <c r="K34" s="216"/>
      <c r="L34" s="216"/>
      <c r="M34" s="216"/>
      <c r="N34" s="216"/>
      <c r="O34" s="216"/>
      <c r="P34" s="239"/>
    </row>
    <row r="35" spans="2:16" ht="13">
      <c r="B35" s="226"/>
      <c r="C35" s="232"/>
      <c r="D35" s="218"/>
      <c r="E35" s="382" t="s">
        <v>76</v>
      </c>
      <c r="F35" s="382"/>
      <c r="G35" s="382"/>
      <c r="H35" s="382"/>
      <c r="I35" s="383" t="s">
        <v>77</v>
      </c>
      <c r="J35" s="383"/>
      <c r="K35" s="383"/>
      <c r="L35" s="383"/>
      <c r="M35" s="382" t="s">
        <v>78</v>
      </c>
      <c r="N35" s="382"/>
      <c r="O35" s="382"/>
      <c r="P35" s="239"/>
    </row>
    <row r="36" spans="2:16" ht="13">
      <c r="B36" s="226"/>
      <c r="C36" s="232"/>
      <c r="D36" s="218"/>
      <c r="E36" s="218" t="s">
        <v>64</v>
      </c>
      <c r="F36" s="218" t="s">
        <v>63</v>
      </c>
      <c r="G36" s="218" t="s">
        <v>62</v>
      </c>
      <c r="H36" s="218" t="s">
        <v>61</v>
      </c>
      <c r="I36" s="218" t="s">
        <v>64</v>
      </c>
      <c r="J36" s="218" t="s">
        <v>63</v>
      </c>
      <c r="K36" s="218" t="s">
        <v>62</v>
      </c>
      <c r="L36" s="218" t="s">
        <v>61</v>
      </c>
      <c r="M36" s="218" t="s">
        <v>64</v>
      </c>
      <c r="N36" s="218" t="s">
        <v>63</v>
      </c>
      <c r="O36" s="218" t="s">
        <v>62</v>
      </c>
      <c r="P36" s="239"/>
    </row>
    <row r="37" spans="2:16" ht="13">
      <c r="B37" s="225"/>
      <c r="C37" s="233" t="s">
        <v>60</v>
      </c>
      <c r="D37" s="224"/>
      <c r="E37" s="224"/>
      <c r="F37" s="224"/>
      <c r="G37" s="224"/>
      <c r="H37" s="224"/>
      <c r="I37" s="224"/>
      <c r="J37" s="224"/>
      <c r="K37" s="224"/>
      <c r="L37" s="224"/>
      <c r="M37" s="224"/>
      <c r="N37" s="224"/>
      <c r="O37" s="224"/>
      <c r="P37" s="239"/>
    </row>
    <row r="38" spans="2:16" ht="13" hidden="1" outlineLevel="1">
      <c r="B38" s="226"/>
      <c r="C38" s="234" t="s">
        <v>99</v>
      </c>
      <c r="D38" s="224"/>
      <c r="E38" s="224"/>
      <c r="F38" s="224"/>
      <c r="G38" s="224"/>
      <c r="H38" s="224"/>
      <c r="I38" s="224"/>
      <c r="J38" s="224"/>
      <c r="K38" s="224"/>
      <c r="L38" s="224"/>
      <c r="M38" s="224"/>
      <c r="N38" s="224"/>
      <c r="O38" s="224"/>
      <c r="P38" s="239"/>
    </row>
    <row r="39" spans="2:16" ht="13" hidden="1" outlineLevel="1">
      <c r="B39" s="226"/>
      <c r="C39" s="235" t="s">
        <v>59</v>
      </c>
      <c r="D39" s="224"/>
      <c r="E39" s="224">
        <f t="shared" ref="E39:L39" si="1">E16*$D$24*$D$10</f>
        <v>0</v>
      </c>
      <c r="F39" s="224">
        <f t="shared" si="1"/>
        <v>0</v>
      </c>
      <c r="G39" s="224">
        <f t="shared" si="1"/>
        <v>0</v>
      </c>
      <c r="H39" s="224">
        <f t="shared" si="1"/>
        <v>23655.453612000005</v>
      </c>
      <c r="I39" s="224">
        <f t="shared" si="1"/>
        <v>23655.453612000005</v>
      </c>
      <c r="J39" s="224">
        <f t="shared" si="1"/>
        <v>0</v>
      </c>
      <c r="K39" s="224">
        <f t="shared" si="1"/>
        <v>0</v>
      </c>
      <c r="L39" s="224">
        <f t="shared" si="1"/>
        <v>0</v>
      </c>
      <c r="M39" s="224"/>
      <c r="N39" s="224"/>
      <c r="O39" s="224"/>
      <c r="P39" s="239"/>
    </row>
    <row r="40" spans="2:16" ht="13.5" hidden="1" outlineLevel="1" thickBot="1">
      <c r="B40" s="226"/>
      <c r="C40" s="235" t="s">
        <v>58</v>
      </c>
      <c r="D40" s="224"/>
      <c r="E40" s="223">
        <f t="shared" ref="E40:L40" si="2">E17*$D$25*$D$10</f>
        <v>0</v>
      </c>
      <c r="F40" s="223">
        <f t="shared" si="2"/>
        <v>0</v>
      </c>
      <c r="G40" s="223">
        <f t="shared" si="2"/>
        <v>0</v>
      </c>
      <c r="H40" s="223">
        <f t="shared" si="2"/>
        <v>32854.796683333334</v>
      </c>
      <c r="I40" s="223">
        <f t="shared" si="2"/>
        <v>32854.796683333334</v>
      </c>
      <c r="J40" s="223">
        <f t="shared" si="2"/>
        <v>0</v>
      </c>
      <c r="K40" s="223">
        <f t="shared" si="2"/>
        <v>0</v>
      </c>
      <c r="L40" s="223">
        <f t="shared" si="2"/>
        <v>0</v>
      </c>
      <c r="M40" s="223"/>
      <c r="N40" s="223"/>
      <c r="O40" s="223"/>
      <c r="P40" s="239"/>
    </row>
    <row r="41" spans="2:16" ht="13" hidden="1" outlineLevel="1">
      <c r="B41" s="226"/>
      <c r="C41" s="235" t="s">
        <v>55</v>
      </c>
      <c r="D41" s="224"/>
      <c r="E41" s="224"/>
      <c r="F41" s="224"/>
      <c r="G41" s="224"/>
      <c r="H41" s="224"/>
      <c r="I41" s="224"/>
      <c r="J41" s="224"/>
      <c r="K41" s="224"/>
      <c r="L41" s="224"/>
      <c r="M41" s="224"/>
      <c r="N41" s="224"/>
      <c r="O41" s="224"/>
      <c r="P41" s="239"/>
    </row>
    <row r="42" spans="2:16" ht="13" collapsed="1">
      <c r="B42" s="226"/>
      <c r="C42" s="234" t="s">
        <v>131</v>
      </c>
      <c r="D42" s="237"/>
      <c r="E42" s="237"/>
      <c r="F42" s="237"/>
      <c r="G42" s="237"/>
      <c r="H42" s="237"/>
      <c r="I42" s="237"/>
      <c r="J42" s="237"/>
      <c r="K42" s="237"/>
      <c r="L42" s="237"/>
      <c r="M42" s="237"/>
      <c r="N42" s="237"/>
      <c r="O42" s="237"/>
      <c r="P42" s="239"/>
    </row>
    <row r="43" spans="2:16" ht="13">
      <c r="B43" s="226"/>
      <c r="C43" s="235" t="s">
        <v>59</v>
      </c>
      <c r="D43" s="237"/>
      <c r="E43" s="237"/>
      <c r="F43" s="237"/>
      <c r="G43" s="237"/>
      <c r="H43" s="237"/>
      <c r="I43" s="237"/>
      <c r="J43" s="237"/>
      <c r="K43" s="237"/>
      <c r="L43" s="237"/>
      <c r="M43" s="354"/>
      <c r="N43" s="237"/>
      <c r="O43" s="237"/>
      <c r="P43" s="239"/>
    </row>
    <row r="44" spans="2:16" ht="13">
      <c r="B44" s="226"/>
      <c r="C44" s="235" t="s">
        <v>58</v>
      </c>
      <c r="D44" s="237"/>
      <c r="E44" s="238"/>
      <c r="F44" s="238"/>
      <c r="G44" s="238"/>
      <c r="H44" s="238"/>
      <c r="I44" s="238"/>
      <c r="J44" s="238"/>
      <c r="K44" s="238"/>
      <c r="L44" s="238"/>
      <c r="M44" s="355"/>
      <c r="N44" s="238"/>
      <c r="O44" s="238"/>
      <c r="P44" s="239"/>
    </row>
    <row r="45" spans="2:16" ht="13">
      <c r="B45" s="226"/>
      <c r="C45" s="235" t="s">
        <v>55</v>
      </c>
      <c r="D45" s="237"/>
      <c r="E45" s="354"/>
      <c r="F45" s="354"/>
      <c r="G45" s="354"/>
      <c r="H45" s="354"/>
      <c r="I45" s="354"/>
      <c r="J45" s="354"/>
      <c r="K45" s="354"/>
      <c r="L45" s="354"/>
      <c r="M45" s="354"/>
      <c r="N45" s="354"/>
      <c r="O45" s="354"/>
      <c r="P45" s="239"/>
    </row>
    <row r="46" spans="2:16" ht="13">
      <c r="B46" s="226"/>
      <c r="C46" s="234" t="s">
        <v>130</v>
      </c>
      <c r="D46" s="237"/>
      <c r="E46" s="237"/>
      <c r="F46" s="237"/>
      <c r="G46" s="237"/>
      <c r="H46" s="237"/>
      <c r="I46" s="237"/>
      <c r="J46" s="237"/>
      <c r="K46" s="237"/>
      <c r="L46" s="237"/>
      <c r="M46" s="237"/>
      <c r="N46" s="237"/>
      <c r="O46" s="237"/>
      <c r="P46" s="239"/>
    </row>
    <row r="47" spans="2:16" ht="13">
      <c r="B47" s="226"/>
      <c r="C47" s="235" t="s">
        <v>59</v>
      </c>
      <c r="D47" s="237"/>
      <c r="E47" s="237"/>
      <c r="F47" s="237"/>
      <c r="G47" s="237"/>
      <c r="H47" s="237"/>
      <c r="I47" s="237"/>
      <c r="J47" s="237"/>
      <c r="K47" s="237"/>
      <c r="L47" s="237"/>
      <c r="M47" s="354"/>
      <c r="N47" s="354"/>
      <c r="O47" s="237"/>
      <c r="P47" s="239"/>
    </row>
    <row r="48" spans="2:16" ht="13">
      <c r="B48" s="226"/>
      <c r="C48" s="235" t="s">
        <v>58</v>
      </c>
      <c r="D48" s="237"/>
      <c r="E48" s="238"/>
      <c r="F48" s="238"/>
      <c r="G48" s="238"/>
      <c r="H48" s="238"/>
      <c r="I48" s="238"/>
      <c r="J48" s="238"/>
      <c r="K48" s="238"/>
      <c r="L48" s="238"/>
      <c r="M48" s="355"/>
      <c r="N48" s="355"/>
      <c r="O48" s="238"/>
      <c r="P48" s="239"/>
    </row>
    <row r="49" spans="2:16" ht="13">
      <c r="B49" s="226"/>
      <c r="C49" s="235" t="s">
        <v>55</v>
      </c>
      <c r="D49" s="237"/>
      <c r="E49" s="354"/>
      <c r="F49" s="354"/>
      <c r="G49" s="354"/>
      <c r="H49" s="354"/>
      <c r="I49" s="354"/>
      <c r="J49" s="354"/>
      <c r="K49" s="354"/>
      <c r="L49" s="354"/>
      <c r="M49" s="354"/>
      <c r="N49" s="354"/>
      <c r="O49" s="354"/>
      <c r="P49" s="239"/>
    </row>
    <row r="50" spans="2:16" ht="13">
      <c r="B50" s="226"/>
      <c r="C50" s="232" t="s">
        <v>57</v>
      </c>
      <c r="D50" s="237"/>
      <c r="E50" s="354"/>
      <c r="F50" s="354"/>
      <c r="G50" s="354"/>
      <c r="H50" s="354"/>
      <c r="I50" s="354"/>
      <c r="J50" s="354"/>
      <c r="K50" s="354"/>
      <c r="L50" s="354"/>
      <c r="M50" s="354"/>
      <c r="N50" s="354"/>
      <c r="O50" s="354"/>
      <c r="P50" s="239"/>
    </row>
    <row r="51" spans="2:16" ht="13">
      <c r="B51" s="226"/>
      <c r="C51" s="235"/>
      <c r="D51" s="237"/>
      <c r="E51" s="237"/>
      <c r="F51" s="237"/>
      <c r="G51" s="237"/>
      <c r="H51" s="237"/>
      <c r="I51" s="237"/>
      <c r="J51" s="237"/>
      <c r="K51" s="237"/>
      <c r="L51" s="237"/>
      <c r="M51" s="237"/>
      <c r="N51" s="237"/>
      <c r="O51" s="237"/>
      <c r="P51" s="239"/>
    </row>
    <row r="52" spans="2:16" ht="13">
      <c r="B52" s="225"/>
      <c r="C52" s="233" t="s">
        <v>56</v>
      </c>
      <c r="D52" s="237"/>
      <c r="E52" s="237"/>
      <c r="F52" s="237"/>
      <c r="G52" s="237"/>
      <c r="H52" s="237"/>
      <c r="I52" s="237"/>
      <c r="J52" s="237"/>
      <c r="K52" s="237"/>
      <c r="L52" s="237"/>
      <c r="M52" s="237"/>
      <c r="N52" s="237"/>
      <c r="O52" s="237"/>
      <c r="P52" s="239"/>
    </row>
    <row r="53" spans="2:16" ht="13">
      <c r="B53" s="17"/>
      <c r="C53" s="235" t="s">
        <v>102</v>
      </c>
      <c r="D53" s="237"/>
      <c r="E53" s="237">
        <v>-100000</v>
      </c>
      <c r="F53" s="237">
        <v>-200000</v>
      </c>
      <c r="G53" s="237">
        <v>-200000</v>
      </c>
      <c r="H53" s="237">
        <v>-300000</v>
      </c>
      <c r="I53" s="237">
        <v>-1000000</v>
      </c>
      <c r="J53" s="237">
        <v>-700000</v>
      </c>
      <c r="K53" s="237">
        <v>-60000</v>
      </c>
      <c r="L53" s="237">
        <v>-32000</v>
      </c>
      <c r="M53" s="237">
        <v>0</v>
      </c>
      <c r="N53" s="237">
        <v>0</v>
      </c>
      <c r="O53" s="237">
        <v>0</v>
      </c>
      <c r="P53" s="239"/>
    </row>
    <row r="54" spans="2:16" ht="13">
      <c r="B54" s="17"/>
      <c r="C54" s="235" t="s">
        <v>45</v>
      </c>
      <c r="D54" s="238"/>
      <c r="E54" s="355"/>
      <c r="F54" s="355"/>
      <c r="G54" s="355"/>
      <c r="H54" s="355"/>
      <c r="I54" s="355"/>
      <c r="J54" s="355"/>
      <c r="K54" s="355"/>
      <c r="L54" s="355"/>
      <c r="M54" s="355"/>
      <c r="N54" s="355"/>
      <c r="O54" s="355"/>
      <c r="P54" s="239"/>
    </row>
    <row r="55" spans="2:16" ht="13">
      <c r="B55" s="17"/>
      <c r="C55" s="235" t="s">
        <v>55</v>
      </c>
      <c r="D55" s="354"/>
      <c r="E55" s="354"/>
      <c r="F55" s="354"/>
      <c r="G55" s="354"/>
      <c r="H55" s="354"/>
      <c r="I55" s="354"/>
      <c r="J55" s="354"/>
      <c r="K55" s="354"/>
      <c r="L55" s="354"/>
      <c r="M55" s="354"/>
      <c r="N55" s="354"/>
      <c r="O55" s="354"/>
      <c r="P55" s="239"/>
    </row>
    <row r="56" spans="2:16" ht="13">
      <c r="B56" s="17"/>
      <c r="C56" s="235"/>
      <c r="D56" s="237"/>
      <c r="E56" s="237"/>
      <c r="F56" s="237"/>
      <c r="G56" s="237"/>
      <c r="H56" s="237"/>
      <c r="I56" s="237"/>
      <c r="J56" s="237"/>
      <c r="K56" s="237"/>
      <c r="L56" s="237"/>
      <c r="M56" s="237"/>
      <c r="N56" s="237"/>
      <c r="O56" s="237"/>
      <c r="P56" s="239"/>
    </row>
    <row r="57" spans="2:16" ht="20.25" customHeight="1" thickBot="1">
      <c r="B57" s="225"/>
      <c r="C57" s="236" t="s">
        <v>128</v>
      </c>
      <c r="D57" s="356"/>
      <c r="E57" s="356"/>
      <c r="F57" s="356"/>
      <c r="G57" s="356"/>
      <c r="H57" s="356"/>
      <c r="I57" s="356"/>
      <c r="J57" s="356"/>
      <c r="K57" s="356"/>
      <c r="L57" s="356"/>
      <c r="M57" s="356"/>
      <c r="N57" s="356"/>
      <c r="O57" s="356"/>
      <c r="P57" s="240"/>
    </row>
    <row r="58" spans="2:16" ht="13.5" thickTop="1">
      <c r="B58" s="221"/>
      <c r="C58" s="219"/>
      <c r="D58" s="216"/>
      <c r="E58" s="220"/>
      <c r="F58" s="220"/>
      <c r="G58" s="220"/>
      <c r="H58" s="220"/>
      <c r="I58" s="220"/>
      <c r="J58" s="220"/>
      <c r="K58" s="220"/>
      <c r="L58" s="220"/>
      <c r="M58" s="220"/>
      <c r="N58" s="220"/>
      <c r="O58" s="220"/>
    </row>
  </sheetData>
  <mergeCells count="5">
    <mergeCell ref="E35:H35"/>
    <mergeCell ref="I35:L35"/>
    <mergeCell ref="M35:O35"/>
    <mergeCell ref="C28:P28"/>
    <mergeCell ref="C26:P26"/>
  </mergeCells>
  <phoneticPr fontId="2" type="noConversion"/>
  <pageMargins left="0.75" right="0.75" top="1" bottom="1" header="0.5" footer="0.5"/>
  <pageSetup orientation="portrait" horizontalDpi="1200" verticalDpi="12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R84"/>
  <sheetViews>
    <sheetView topLeftCell="A30" zoomScaleNormal="100" workbookViewId="0">
      <selection activeCell="A60" sqref="A60"/>
    </sheetView>
  </sheetViews>
  <sheetFormatPr defaultColWidth="9.08984375" defaultRowHeight="12.5" outlineLevelRow="1"/>
  <cols>
    <col min="1" max="2" width="2.6328125" style="1" customWidth="1"/>
    <col min="3" max="3" width="23.08984375" style="1" customWidth="1"/>
    <col min="4" max="4" width="10.6328125" style="1" customWidth="1"/>
    <col min="5" max="5" width="9.7265625" style="1" bestFit="1" customWidth="1"/>
    <col min="6" max="9" width="8.6328125" style="1" customWidth="1"/>
    <col min="10" max="10" width="9.08984375" style="1" customWidth="1"/>
    <col min="11" max="14" width="8.6328125" style="1" customWidth="1"/>
    <col min="15" max="16" width="4.1796875" style="1" customWidth="1"/>
    <col min="17" max="17" width="9.08984375" style="1"/>
    <col min="18" max="18" width="14" style="1" bestFit="1" customWidth="1"/>
    <col min="19" max="16384" width="9.08984375" style="1"/>
  </cols>
  <sheetData>
    <row r="2" spans="2:18" ht="13">
      <c r="B2" s="268" t="s">
        <v>79</v>
      </c>
      <c r="C2" s="34"/>
      <c r="D2" s="34"/>
      <c r="E2" s="34"/>
      <c r="F2" s="34"/>
      <c r="G2" s="25" t="s">
        <v>151</v>
      </c>
      <c r="H2" s="34"/>
      <c r="I2" s="34"/>
      <c r="J2" s="34"/>
      <c r="K2" s="34"/>
      <c r="L2" s="34"/>
      <c r="M2" s="34"/>
      <c r="N2" s="34"/>
      <c r="O2" s="34"/>
      <c r="P2" s="34"/>
    </row>
    <row r="3" spans="2:18" ht="13">
      <c r="B3" s="34" t="s">
        <v>91</v>
      </c>
      <c r="E3" s="326">
        <f>'Fig PIII.13'!D3</f>
        <v>3600000</v>
      </c>
      <c r="F3" s="327"/>
      <c r="G3" s="327"/>
      <c r="H3" s="327"/>
      <c r="I3" s="34"/>
      <c r="J3" s="34"/>
      <c r="K3" s="34"/>
      <c r="L3" s="34"/>
      <c r="M3" s="34"/>
      <c r="N3" s="34"/>
      <c r="O3" s="34"/>
      <c r="P3" s="34"/>
    </row>
    <row r="4" spans="2:18" ht="13">
      <c r="B4" s="34" t="s">
        <v>44</v>
      </c>
      <c r="E4" s="328">
        <f>'Fig PIII.13'!D4</f>
        <v>0.03</v>
      </c>
      <c r="F4" s="327"/>
      <c r="G4" s="327"/>
      <c r="H4" s="327"/>
      <c r="I4" s="34"/>
      <c r="J4" s="34"/>
      <c r="K4" s="34"/>
      <c r="L4" s="34"/>
      <c r="M4" s="34"/>
      <c r="N4" s="34"/>
      <c r="O4" s="34"/>
      <c r="P4" s="34"/>
    </row>
    <row r="5" spans="2:18" ht="13">
      <c r="B5" s="34" t="s">
        <v>92</v>
      </c>
      <c r="E5" s="326">
        <f>'Fig PIII.13'!D5</f>
        <v>4200000</v>
      </c>
      <c r="F5" s="339">
        <f>'Fig PIII.13'!E5</f>
        <v>0.66666666666666663</v>
      </c>
      <c r="G5" s="327"/>
      <c r="H5" s="327"/>
      <c r="I5" s="34"/>
      <c r="J5" s="34"/>
      <c r="K5" s="34"/>
      <c r="L5" s="34"/>
      <c r="M5" s="34"/>
      <c r="N5" s="34"/>
      <c r="O5" s="34"/>
      <c r="P5" s="34"/>
    </row>
    <row r="6" spans="2:18" ht="13">
      <c r="B6" s="34" t="s">
        <v>90</v>
      </c>
      <c r="E6" s="326">
        <f>'Fig PIII.13'!D6</f>
        <v>2100000</v>
      </c>
      <c r="F6" s="327"/>
      <c r="G6" s="327"/>
      <c r="H6" s="327"/>
      <c r="I6" s="34"/>
      <c r="J6" s="34"/>
      <c r="K6" s="34"/>
      <c r="L6" s="34"/>
      <c r="M6" s="34"/>
      <c r="N6" s="34"/>
      <c r="O6" s="34"/>
      <c r="P6" s="34"/>
    </row>
    <row r="7" spans="2:18" ht="13">
      <c r="B7" s="34" t="s">
        <v>93</v>
      </c>
      <c r="E7" s="326">
        <f>'Fig PIII.13'!D7</f>
        <v>6300000</v>
      </c>
      <c r="F7" s="326"/>
      <c r="G7" s="326" t="str">
        <f>'Fig PIII.13'!F7</f>
        <v>Check</v>
      </c>
      <c r="H7" s="326">
        <f>'Fig PIII.13'!G7</f>
        <v>0</v>
      </c>
      <c r="I7" s="34"/>
      <c r="J7" s="34"/>
      <c r="K7" s="34"/>
      <c r="L7" s="34"/>
      <c r="M7" s="34"/>
      <c r="N7" s="34"/>
      <c r="O7" s="34"/>
      <c r="P7" s="34"/>
    </row>
    <row r="8" spans="2:18" ht="13">
      <c r="B8" s="34" t="s">
        <v>4</v>
      </c>
      <c r="E8" s="328">
        <f>'Fig PIII.13'!D8</f>
        <v>6.8000000000000005E-2</v>
      </c>
      <c r="F8" s="327"/>
      <c r="G8" s="327"/>
      <c r="H8" s="327"/>
      <c r="I8" s="34"/>
      <c r="J8" s="34"/>
      <c r="K8" s="34"/>
      <c r="L8" s="34"/>
      <c r="M8" s="34"/>
      <c r="N8" s="34"/>
      <c r="O8" s="34"/>
      <c r="P8" s="34"/>
    </row>
    <row r="9" spans="2:18" ht="13">
      <c r="B9" s="34"/>
      <c r="E9" s="60"/>
      <c r="F9" s="34"/>
      <c r="G9" s="34"/>
      <c r="H9" s="34"/>
      <c r="I9" s="34"/>
      <c r="J9" s="34"/>
      <c r="K9" s="34"/>
      <c r="L9" s="34"/>
      <c r="M9" s="34"/>
      <c r="N9" s="34"/>
      <c r="O9" s="34"/>
      <c r="P9" s="34"/>
    </row>
    <row r="10" spans="2:18" ht="13">
      <c r="B10" s="34" t="s">
        <v>97</v>
      </c>
      <c r="E10" s="60">
        <f>'Fig PIII.13'!D10</f>
        <v>0.05</v>
      </c>
      <c r="F10" s="34"/>
      <c r="G10" s="34"/>
      <c r="H10" s="34"/>
      <c r="I10" s="34"/>
      <c r="J10" s="34"/>
      <c r="K10" s="34"/>
      <c r="L10" s="34"/>
      <c r="M10" s="34"/>
      <c r="N10" s="34"/>
      <c r="O10" s="34"/>
      <c r="P10" s="34"/>
    </row>
    <row r="11" spans="2:18" ht="13">
      <c r="B11" s="34" t="s">
        <v>45</v>
      </c>
      <c r="E11" s="60">
        <f>'Fig PIII.13'!D11</f>
        <v>0.03</v>
      </c>
      <c r="F11" s="34"/>
      <c r="G11" s="34"/>
      <c r="H11" s="35"/>
      <c r="I11" s="34"/>
      <c r="J11" s="34"/>
      <c r="K11" s="34"/>
      <c r="L11" s="34"/>
      <c r="M11" s="34"/>
      <c r="N11" s="34"/>
      <c r="O11" s="34"/>
      <c r="P11" s="34"/>
    </row>
    <row r="12" spans="2:18" ht="13">
      <c r="B12" s="34" t="s">
        <v>98</v>
      </c>
      <c r="C12" s="38"/>
      <c r="D12" s="38"/>
      <c r="E12" s="60">
        <f>'Fig PIII.13'!D12</f>
        <v>0.02</v>
      </c>
      <c r="F12" s="34"/>
      <c r="G12" s="34"/>
      <c r="H12" s="35"/>
      <c r="I12" s="34"/>
      <c r="J12" s="34"/>
      <c r="K12" s="34"/>
      <c r="L12" s="34"/>
      <c r="M12" s="34"/>
      <c r="N12" s="34"/>
      <c r="O12" s="34"/>
      <c r="P12" s="34"/>
    </row>
    <row r="13" spans="2:18" ht="13">
      <c r="B13" s="34"/>
      <c r="F13" s="37" t="s">
        <v>76</v>
      </c>
      <c r="G13" s="37" t="s">
        <v>76</v>
      </c>
      <c r="H13" s="37" t="s">
        <v>76</v>
      </c>
      <c r="I13" s="37" t="s">
        <v>76</v>
      </c>
      <c r="J13" s="37" t="s">
        <v>77</v>
      </c>
      <c r="K13" s="37" t="s">
        <v>77</v>
      </c>
      <c r="L13" s="37" t="s">
        <v>77</v>
      </c>
      <c r="M13" s="37" t="s">
        <v>77</v>
      </c>
      <c r="N13" s="37" t="s">
        <v>78</v>
      </c>
      <c r="O13" s="37" t="s">
        <v>78</v>
      </c>
      <c r="P13" s="37" t="s">
        <v>78</v>
      </c>
    </row>
    <row r="14" spans="2:18" ht="13">
      <c r="B14" s="269" t="s">
        <v>96</v>
      </c>
      <c r="C14" s="304"/>
      <c r="D14" s="304"/>
      <c r="E14" s="304"/>
      <c r="F14" s="305" t="s">
        <v>64</v>
      </c>
      <c r="G14" s="305" t="s">
        <v>63</v>
      </c>
      <c r="H14" s="305" t="s">
        <v>62</v>
      </c>
      <c r="I14" s="305" t="s">
        <v>61</v>
      </c>
      <c r="J14" s="305" t="s">
        <v>64</v>
      </c>
      <c r="K14" s="305" t="s">
        <v>63</v>
      </c>
      <c r="L14" s="305" t="s">
        <v>62</v>
      </c>
      <c r="M14" s="305" t="s">
        <v>61</v>
      </c>
      <c r="N14" s="305" t="s">
        <v>64</v>
      </c>
      <c r="O14" s="305" t="s">
        <v>63</v>
      </c>
      <c r="P14" s="305" t="s">
        <v>62</v>
      </c>
    </row>
    <row r="15" spans="2:18" ht="13">
      <c r="B15" s="53" t="s">
        <v>94</v>
      </c>
      <c r="C15" s="306"/>
      <c r="D15" s="306"/>
      <c r="E15" s="306"/>
      <c r="F15" s="306"/>
      <c r="G15" s="306"/>
      <c r="H15" s="306"/>
      <c r="I15" s="306"/>
      <c r="J15" s="306"/>
      <c r="K15" s="306"/>
      <c r="L15" s="306"/>
      <c r="M15" s="306"/>
      <c r="N15" s="307" t="str">
        <f>'Fig PIII.13'!M15:M15</f>
        <v>Closings</v>
      </c>
      <c r="O15" s="307"/>
      <c r="P15" s="308"/>
    </row>
    <row r="16" spans="2:18" ht="13">
      <c r="B16" s="41" t="s">
        <v>53</v>
      </c>
      <c r="C16" s="309"/>
      <c r="D16" s="309"/>
      <c r="E16" s="304"/>
      <c r="F16" s="304"/>
      <c r="G16" s="309"/>
      <c r="H16" s="309"/>
      <c r="I16" s="309">
        <f>'Fig PIII.13'!H16</f>
        <v>1</v>
      </c>
      <c r="J16" s="309">
        <f>'Fig PIII.13'!I16</f>
        <v>1</v>
      </c>
      <c r="K16" s="309">
        <f>'Fig PIII.13'!J16</f>
        <v>0</v>
      </c>
      <c r="L16" s="309">
        <f>'Fig PIII.13'!K16</f>
        <v>0</v>
      </c>
      <c r="M16" s="309">
        <f>'Fig PIII.13'!L16</f>
        <v>0</v>
      </c>
      <c r="N16" s="310">
        <f>'Fig PIII.13'!M16</f>
        <v>2</v>
      </c>
      <c r="O16" s="311">
        <f>'Fig PIII.13'!N16</f>
        <v>0</v>
      </c>
      <c r="P16" s="312"/>
      <c r="R16" s="55"/>
    </row>
    <row r="17" spans="2:18" ht="13">
      <c r="B17" s="41" t="s">
        <v>52</v>
      </c>
      <c r="C17" s="309"/>
      <c r="D17" s="309"/>
      <c r="E17" s="304"/>
      <c r="F17" s="304"/>
      <c r="G17" s="309"/>
      <c r="H17" s="309"/>
      <c r="I17" s="309">
        <f>'Fig PIII.13'!H17</f>
        <v>1</v>
      </c>
      <c r="J17" s="309">
        <f>'Fig PIII.13'!I17</f>
        <v>1</v>
      </c>
      <c r="K17" s="309">
        <f>'Fig PIII.13'!J17</f>
        <v>0</v>
      </c>
      <c r="L17" s="309">
        <f>'Fig PIII.13'!K17</f>
        <v>0</v>
      </c>
      <c r="M17" s="309">
        <f>'Fig PIII.13'!L17</f>
        <v>0</v>
      </c>
      <c r="N17" s="313">
        <f>'Fig PIII.13'!M17</f>
        <v>2</v>
      </c>
      <c r="O17" s="314">
        <f>'Fig PIII.13'!N17</f>
        <v>0</v>
      </c>
      <c r="P17" s="312"/>
      <c r="R17" s="55"/>
    </row>
    <row r="18" spans="2:18" ht="13">
      <c r="B18" s="41"/>
      <c r="C18" s="309"/>
      <c r="D18" s="309"/>
      <c r="E18" s="304"/>
      <c r="F18" s="304"/>
      <c r="G18" s="309"/>
      <c r="H18" s="309"/>
      <c r="I18" s="309"/>
      <c r="J18" s="309"/>
      <c r="K18" s="309"/>
      <c r="L18" s="309"/>
      <c r="M18" s="309"/>
      <c r="N18" s="315"/>
      <c r="O18" s="315"/>
      <c r="P18" s="312"/>
    </row>
    <row r="19" spans="2:18" ht="13">
      <c r="B19" s="54" t="s">
        <v>95</v>
      </c>
      <c r="C19" s="309"/>
      <c r="D19" s="309"/>
      <c r="E19" s="304"/>
      <c r="F19" s="304"/>
      <c r="G19" s="309"/>
      <c r="H19" s="309"/>
      <c r="I19" s="309"/>
      <c r="J19" s="309"/>
      <c r="K19" s="309"/>
      <c r="L19" s="309"/>
      <c r="M19" s="309"/>
      <c r="N19" s="316" t="str">
        <f>'Fig PIII.13'!M19:M19</f>
        <v>Sales and Closings</v>
      </c>
      <c r="O19" s="316"/>
      <c r="P19" s="312"/>
    </row>
    <row r="20" spans="2:18" ht="13">
      <c r="B20" s="41" t="s">
        <v>53</v>
      </c>
      <c r="C20" s="309"/>
      <c r="D20" s="309"/>
      <c r="E20" s="304"/>
      <c r="F20" s="304"/>
      <c r="G20" s="309"/>
      <c r="H20" s="309"/>
      <c r="I20" s="309"/>
      <c r="J20" s="309"/>
      <c r="K20" s="309"/>
      <c r="L20" s="309"/>
      <c r="M20" s="309"/>
      <c r="N20" s="310">
        <f>'Fig PIII.13'!M20</f>
        <v>5</v>
      </c>
      <c r="O20" s="311">
        <f>'Fig PIII.13'!N20</f>
        <v>2</v>
      </c>
      <c r="P20" s="312"/>
      <c r="R20" s="55"/>
    </row>
    <row r="21" spans="2:18" ht="13">
      <c r="B21" s="41" t="s">
        <v>52</v>
      </c>
      <c r="C21" s="309"/>
      <c r="D21" s="309"/>
      <c r="E21" s="304"/>
      <c r="F21" s="304"/>
      <c r="G21" s="309"/>
      <c r="H21" s="309"/>
      <c r="I21" s="309"/>
      <c r="J21" s="309"/>
      <c r="K21" s="309"/>
      <c r="L21" s="309"/>
      <c r="M21" s="309"/>
      <c r="N21" s="313">
        <f>'Fig PIII.13'!M21</f>
        <v>4</v>
      </c>
      <c r="O21" s="314">
        <f>'Fig PIII.13'!N21</f>
        <v>2</v>
      </c>
      <c r="P21" s="312"/>
      <c r="R21" s="55"/>
    </row>
    <row r="22" spans="2:18" ht="13">
      <c r="B22" s="41"/>
      <c r="C22" s="309"/>
      <c r="D22" s="309"/>
      <c r="E22" s="304"/>
      <c r="F22" s="304"/>
      <c r="G22" s="309"/>
      <c r="H22" s="309"/>
      <c r="I22" s="309"/>
      <c r="J22" s="309"/>
      <c r="K22" s="309"/>
      <c r="L22" s="309"/>
      <c r="M22" s="309"/>
      <c r="N22" s="309"/>
      <c r="O22" s="309"/>
      <c r="P22" s="312"/>
      <c r="R22" s="55"/>
    </row>
    <row r="23" spans="2:18" ht="13">
      <c r="B23" s="54" t="s">
        <v>51</v>
      </c>
      <c r="C23" s="304"/>
      <c r="D23" s="304"/>
      <c r="E23" s="317" t="s">
        <v>50</v>
      </c>
      <c r="F23" s="304"/>
      <c r="G23" s="309"/>
      <c r="H23" s="309"/>
      <c r="I23" s="309"/>
      <c r="J23" s="309"/>
      <c r="K23" s="309"/>
      <c r="L23" s="309"/>
      <c r="M23" s="309"/>
      <c r="N23" s="309"/>
      <c r="O23" s="309"/>
      <c r="P23" s="312"/>
    </row>
    <row r="24" spans="2:18" ht="13">
      <c r="B24" s="41" t="s">
        <v>49</v>
      </c>
      <c r="C24" s="304"/>
      <c r="D24" s="304"/>
      <c r="E24" s="318">
        <f>'Fig PIII.13'!D24</f>
        <v>473109.07224000007</v>
      </c>
      <c r="F24" s="304"/>
      <c r="G24" s="309"/>
      <c r="H24" s="309"/>
      <c r="I24" s="318">
        <f>'Fig PIII.13'!H24</f>
        <v>450000</v>
      </c>
      <c r="J24" s="318">
        <f>'Fig PIII.13'!I24</f>
        <v>459000</v>
      </c>
      <c r="K24" s="318">
        <f>'Fig PIII.13'!J24</f>
        <v>468180</v>
      </c>
      <c r="L24" s="318">
        <f>'Fig PIII.13'!K24</f>
        <v>477543.60000000003</v>
      </c>
      <c r="M24" s="318">
        <f>'Fig PIII.13'!L24</f>
        <v>487094.47200000007</v>
      </c>
      <c r="N24" s="318">
        <f>'Fig PIII.13'!M24</f>
        <v>496836.36144000007</v>
      </c>
      <c r="O24" s="318">
        <f>'Fig PIII.13'!N24</f>
        <v>0</v>
      </c>
      <c r="P24" s="319">
        <f>'Fig PIII.13'!O24</f>
        <v>0</v>
      </c>
      <c r="R24" s="55"/>
    </row>
    <row r="25" spans="2:18" ht="13">
      <c r="B25" s="49" t="s">
        <v>48</v>
      </c>
      <c r="C25" s="320"/>
      <c r="D25" s="320"/>
      <c r="E25" s="321">
        <f>'Fig PIII.13'!D25</f>
        <v>657095.93366666662</v>
      </c>
      <c r="F25" s="320"/>
      <c r="G25" s="322"/>
      <c r="H25" s="322"/>
      <c r="I25" s="321">
        <f>'Fig PIII.13'!H25</f>
        <v>625000</v>
      </c>
      <c r="J25" s="321">
        <f>'Fig PIII.13'!I25</f>
        <v>637500</v>
      </c>
      <c r="K25" s="321">
        <f>'Fig PIII.13'!J25</f>
        <v>650250</v>
      </c>
      <c r="L25" s="321">
        <f>'Fig PIII.13'!K25</f>
        <v>663255</v>
      </c>
      <c r="M25" s="321">
        <f>'Fig PIII.13'!L25</f>
        <v>676520.1</v>
      </c>
      <c r="N25" s="321">
        <f>'Fig PIII.13'!M25</f>
        <v>690050.50199999998</v>
      </c>
      <c r="O25" s="321">
        <f>'Fig PIII.13'!N25</f>
        <v>0</v>
      </c>
      <c r="P25" s="323">
        <f>'Fig PIII.13'!O25</f>
        <v>0</v>
      </c>
    </row>
    <row r="28" spans="2:18" ht="13">
      <c r="B28" s="384" t="s">
        <v>68</v>
      </c>
      <c r="C28" s="385"/>
      <c r="D28" s="385"/>
      <c r="E28" s="385"/>
      <c r="F28" s="385"/>
      <c r="G28" s="385"/>
      <c r="H28" s="385"/>
      <c r="I28" s="385"/>
      <c r="J28" s="385"/>
      <c r="K28" s="385"/>
      <c r="L28" s="385"/>
      <c r="M28" s="385"/>
      <c r="N28" s="385"/>
      <c r="O28" s="385"/>
      <c r="P28" s="386"/>
    </row>
    <row r="29" spans="2:18" ht="13">
      <c r="B29" s="387" t="s">
        <v>153</v>
      </c>
      <c r="C29" s="388"/>
      <c r="D29" s="388"/>
      <c r="E29" s="388"/>
      <c r="F29" s="388"/>
      <c r="G29" s="388"/>
      <c r="H29" s="388"/>
      <c r="I29" s="388"/>
      <c r="J29" s="388"/>
      <c r="K29" s="388"/>
      <c r="L29" s="388"/>
      <c r="M29" s="388"/>
      <c r="N29" s="388"/>
      <c r="O29" s="388"/>
      <c r="P29" s="389"/>
    </row>
    <row r="30" spans="2:18" ht="13">
      <c r="B30" s="282"/>
      <c r="C30" s="283"/>
      <c r="D30" s="283"/>
      <c r="E30" s="284"/>
      <c r="F30" s="284"/>
      <c r="G30" s="284"/>
      <c r="H30" s="284"/>
      <c r="I30" s="284"/>
      <c r="J30" s="284"/>
      <c r="K30" s="284"/>
      <c r="L30" s="284"/>
      <c r="M30" s="284"/>
      <c r="N30" s="284"/>
      <c r="O30" s="284"/>
      <c r="P30" s="285"/>
    </row>
    <row r="31" spans="2:18" ht="13">
      <c r="B31" s="282" t="str">
        <f>'Fig PIII.13'!C30</f>
        <v>Initial Investment</v>
      </c>
      <c r="C31" s="286"/>
      <c r="D31" s="286"/>
      <c r="E31" s="287" t="str">
        <f>'Fig PIII.13'!D30</f>
        <v>Time 0</v>
      </c>
      <c r="F31" s="284"/>
      <c r="G31" s="284"/>
      <c r="H31" s="284"/>
      <c r="I31" s="284"/>
      <c r="J31" s="284"/>
      <c r="K31" s="284"/>
      <c r="L31" s="284"/>
      <c r="M31" s="284"/>
      <c r="N31" s="284"/>
      <c r="O31" s="284"/>
      <c r="P31" s="285"/>
    </row>
    <row r="32" spans="2:18" ht="13">
      <c r="B32" s="282"/>
      <c r="C32" s="284" t="str">
        <f>'Fig PIII.13'!C31</f>
        <v>Purchase of Building</v>
      </c>
      <c r="D32" s="284"/>
      <c r="E32" s="288">
        <f>'Fig PIII.13'!D31</f>
        <v>-3600000</v>
      </c>
      <c r="F32" s="284"/>
      <c r="G32" s="284"/>
      <c r="H32" s="284"/>
      <c r="I32" s="284"/>
      <c r="J32" s="284"/>
      <c r="K32" s="284"/>
      <c r="L32" s="284"/>
      <c r="M32" s="284"/>
      <c r="N32" s="284"/>
      <c r="O32" s="284"/>
      <c r="P32" s="285"/>
    </row>
    <row r="33" spans="2:16" ht="13">
      <c r="B33" s="282"/>
      <c r="C33" s="284" t="str">
        <f>'Fig PIII.13'!C32</f>
        <v>Transaction Cost</v>
      </c>
      <c r="D33" s="284"/>
      <c r="E33" s="288">
        <f>'Fig PIII.13'!D32</f>
        <v>-108000</v>
      </c>
      <c r="F33" s="284"/>
      <c r="G33" s="284"/>
      <c r="H33" s="284"/>
      <c r="I33" s="284"/>
      <c r="J33" s="284"/>
      <c r="K33" s="284"/>
      <c r="L33" s="284"/>
      <c r="M33" s="284"/>
      <c r="N33" s="284"/>
      <c r="O33" s="284"/>
      <c r="P33" s="285"/>
    </row>
    <row r="34" spans="2:16" ht="13">
      <c r="B34" s="282"/>
      <c r="C34" s="284" t="str">
        <f>'Fig PIII.13'!C33</f>
        <v>Subtotal</v>
      </c>
      <c r="D34" s="284"/>
      <c r="E34" s="288">
        <f>'Fig PIII.13'!D33</f>
        <v>-3708000</v>
      </c>
      <c r="F34" s="284"/>
      <c r="G34" s="284"/>
      <c r="H34" s="284"/>
      <c r="I34" s="284"/>
      <c r="J34" s="284"/>
      <c r="K34" s="284"/>
      <c r="L34" s="284"/>
      <c r="M34" s="284"/>
      <c r="N34" s="284"/>
      <c r="O34" s="284"/>
      <c r="P34" s="285"/>
    </row>
    <row r="35" spans="2:16" ht="13">
      <c r="B35" s="282"/>
      <c r="C35" s="283"/>
      <c r="D35" s="283"/>
      <c r="E35" s="288"/>
      <c r="F35" s="284"/>
      <c r="G35" s="284"/>
      <c r="H35" s="284"/>
      <c r="I35" s="284"/>
      <c r="J35" s="284"/>
      <c r="K35" s="284"/>
      <c r="L35" s="284"/>
      <c r="M35" s="284"/>
      <c r="N35" s="284"/>
      <c r="O35" s="284"/>
      <c r="P35" s="285"/>
    </row>
    <row r="36" spans="2:16" ht="13">
      <c r="B36" s="282"/>
      <c r="C36" s="284"/>
      <c r="D36" s="284"/>
      <c r="E36" s="289"/>
      <c r="F36" s="289" t="str">
        <f>'Fig PIII.13'!E35</f>
        <v>Year 1</v>
      </c>
      <c r="G36" s="289"/>
      <c r="H36" s="289"/>
      <c r="I36" s="289"/>
      <c r="J36" s="289" t="str">
        <f>'Fig PIII.13'!I35</f>
        <v>Year 2</v>
      </c>
      <c r="K36" s="289"/>
      <c r="L36" s="289"/>
      <c r="M36" s="289"/>
      <c r="N36" s="289" t="str">
        <f>'Fig PIII.13'!M35</f>
        <v>Year 3</v>
      </c>
      <c r="O36" s="289"/>
      <c r="P36" s="290"/>
    </row>
    <row r="37" spans="2:16" ht="13">
      <c r="B37" s="282"/>
      <c r="C37" s="284"/>
      <c r="D37" s="284"/>
      <c r="E37" s="289"/>
      <c r="F37" s="289" t="str">
        <f>'Fig PIII.13'!E36</f>
        <v>Q1</v>
      </c>
      <c r="G37" s="289" t="str">
        <f>'Fig PIII.13'!F36</f>
        <v>Q2</v>
      </c>
      <c r="H37" s="289" t="str">
        <f>'Fig PIII.13'!G36</f>
        <v>Q3</v>
      </c>
      <c r="I37" s="289" t="str">
        <f>'Fig PIII.13'!H36</f>
        <v>Q4</v>
      </c>
      <c r="J37" s="289" t="str">
        <f>'Fig PIII.13'!I36</f>
        <v>Q1</v>
      </c>
      <c r="K37" s="289" t="str">
        <f>'Fig PIII.13'!J36</f>
        <v>Q2</v>
      </c>
      <c r="L37" s="289" t="str">
        <f>'Fig PIII.13'!K36</f>
        <v>Q3</v>
      </c>
      <c r="M37" s="289" t="str">
        <f>'Fig PIII.13'!L36</f>
        <v>Q4</v>
      </c>
      <c r="N37" s="289" t="str">
        <f>'Fig PIII.13'!M36</f>
        <v>Q1</v>
      </c>
      <c r="O37" s="289" t="str">
        <f>'Fig PIII.13'!N36</f>
        <v>Q2</v>
      </c>
      <c r="P37" s="290" t="str">
        <f>'Fig PIII.13'!O36</f>
        <v>Q3</v>
      </c>
    </row>
    <row r="38" spans="2:16" ht="13">
      <c r="B38" s="282" t="str">
        <f>'Fig PIII.13'!C37</f>
        <v>Revenue</v>
      </c>
      <c r="C38" s="284"/>
      <c r="D38" s="284"/>
      <c r="E38" s="289"/>
      <c r="F38" s="289"/>
      <c r="G38" s="289"/>
      <c r="H38" s="289"/>
      <c r="I38" s="289"/>
      <c r="J38" s="289"/>
      <c r="K38" s="289"/>
      <c r="L38" s="289"/>
      <c r="M38" s="289"/>
      <c r="N38" s="289"/>
      <c r="O38" s="289"/>
      <c r="P38" s="290"/>
    </row>
    <row r="39" spans="2:16" ht="13" outlineLevel="1">
      <c r="B39" s="282"/>
      <c r="C39" s="291" t="str">
        <f>'Fig PIII.13'!C38</f>
        <v>Presale Down Payment</v>
      </c>
      <c r="D39" s="291"/>
      <c r="E39" s="289"/>
      <c r="F39" s="289"/>
      <c r="G39" s="289"/>
      <c r="H39" s="289"/>
      <c r="I39" s="289"/>
      <c r="J39" s="289"/>
      <c r="K39" s="289"/>
      <c r="L39" s="289"/>
      <c r="M39" s="289"/>
      <c r="N39" s="289"/>
      <c r="O39" s="289"/>
      <c r="P39" s="290"/>
    </row>
    <row r="40" spans="2:16" ht="13" outlineLevel="1">
      <c r="B40" s="282"/>
      <c r="C40" s="292" t="str">
        <f>'Fig PIII.13'!C39</f>
        <v>2-Bedroom</v>
      </c>
      <c r="D40" s="292"/>
      <c r="E40" s="289"/>
      <c r="F40" s="293">
        <f>'Fig PIII.13'!E39</f>
        <v>0</v>
      </c>
      <c r="G40" s="293">
        <f>'Fig PIII.13'!F39</f>
        <v>0</v>
      </c>
      <c r="H40" s="293">
        <f>'Fig PIII.13'!G39</f>
        <v>0</v>
      </c>
      <c r="I40" s="293">
        <f>'Fig PIII.13'!H39</f>
        <v>23655.453612000005</v>
      </c>
      <c r="J40" s="293">
        <f>'Fig PIII.13'!I39</f>
        <v>23655.453612000005</v>
      </c>
      <c r="K40" s="293">
        <f>'Fig PIII.13'!J39</f>
        <v>0</v>
      </c>
      <c r="L40" s="293">
        <f>'Fig PIII.13'!K39</f>
        <v>0</v>
      </c>
      <c r="M40" s="293">
        <f>'Fig PIII.13'!L39</f>
        <v>0</v>
      </c>
      <c r="N40" s="293">
        <f>'Fig PIII.13'!M39</f>
        <v>0</v>
      </c>
      <c r="O40" s="293">
        <f>'Fig PIII.13'!N39</f>
        <v>0</v>
      </c>
      <c r="P40" s="294">
        <f>'Fig PIII.13'!O39</f>
        <v>0</v>
      </c>
    </row>
    <row r="41" spans="2:16" ht="13.5" outlineLevel="1" thickBot="1">
      <c r="B41" s="282"/>
      <c r="C41" s="292" t="str">
        <f>'Fig PIII.13'!C40</f>
        <v>3-Bedroom</v>
      </c>
      <c r="D41" s="292"/>
      <c r="E41" s="289"/>
      <c r="F41" s="295">
        <f>'Fig PIII.13'!E40</f>
        <v>0</v>
      </c>
      <c r="G41" s="295">
        <f>'Fig PIII.13'!F40</f>
        <v>0</v>
      </c>
      <c r="H41" s="295">
        <f>'Fig PIII.13'!G40</f>
        <v>0</v>
      </c>
      <c r="I41" s="295">
        <f>'Fig PIII.13'!H40</f>
        <v>32854.796683333334</v>
      </c>
      <c r="J41" s="295">
        <f>'Fig PIII.13'!I40</f>
        <v>32854.796683333334</v>
      </c>
      <c r="K41" s="295">
        <f>'Fig PIII.13'!J40</f>
        <v>0</v>
      </c>
      <c r="L41" s="295">
        <f>'Fig PIII.13'!K40</f>
        <v>0</v>
      </c>
      <c r="M41" s="295">
        <f>'Fig PIII.13'!L40</f>
        <v>0</v>
      </c>
      <c r="N41" s="295">
        <f>'Fig PIII.13'!M40</f>
        <v>0</v>
      </c>
      <c r="O41" s="295">
        <f>'Fig PIII.13'!N40</f>
        <v>0</v>
      </c>
      <c r="P41" s="296">
        <f>'Fig PIII.13'!O40</f>
        <v>0</v>
      </c>
    </row>
    <row r="42" spans="2:16" ht="13" outlineLevel="1">
      <c r="B42" s="282"/>
      <c r="C42" s="292" t="str">
        <f>'Fig PIII.13'!C41</f>
        <v>Subtotal</v>
      </c>
      <c r="D42" s="292"/>
      <c r="E42" s="289"/>
      <c r="F42" s="293">
        <f>'Fig PIII.13'!E41</f>
        <v>0</v>
      </c>
      <c r="G42" s="293">
        <f>'Fig PIII.13'!F41</f>
        <v>0</v>
      </c>
      <c r="H42" s="293">
        <f>'Fig PIII.13'!G41</f>
        <v>0</v>
      </c>
      <c r="I42" s="293">
        <f>'Fig PIII.13'!H41</f>
        <v>0</v>
      </c>
      <c r="J42" s="293">
        <f>'Fig PIII.13'!I41</f>
        <v>0</v>
      </c>
      <c r="K42" s="293">
        <f>'Fig PIII.13'!J41</f>
        <v>0</v>
      </c>
      <c r="L42" s="293">
        <f>'Fig PIII.13'!K41</f>
        <v>0</v>
      </c>
      <c r="M42" s="293">
        <f>'Fig PIII.13'!L41</f>
        <v>0</v>
      </c>
      <c r="N42" s="293">
        <f>'Fig PIII.13'!M41</f>
        <v>0</v>
      </c>
      <c r="O42" s="293">
        <f>'Fig PIII.13'!N41</f>
        <v>0</v>
      </c>
      <c r="P42" s="294">
        <f>'Fig PIII.13'!O41</f>
        <v>0</v>
      </c>
    </row>
    <row r="43" spans="2:16" ht="13">
      <c r="B43" s="282"/>
      <c r="C43" s="286" t="str">
        <f>'Fig PIII.13'!C42</f>
        <v>Pre-sales</v>
      </c>
      <c r="D43" s="286"/>
      <c r="E43" s="289"/>
      <c r="F43" s="293">
        <f>'Fig PIII.13'!E42</f>
        <v>0</v>
      </c>
      <c r="G43" s="293">
        <f>'Fig PIII.13'!F42</f>
        <v>0</v>
      </c>
      <c r="H43" s="293">
        <f>'Fig PIII.13'!G42</f>
        <v>0</v>
      </c>
      <c r="I43" s="293">
        <f>'Fig PIII.13'!H42</f>
        <v>0</v>
      </c>
      <c r="J43" s="293">
        <f>'Fig PIII.13'!I42</f>
        <v>0</v>
      </c>
      <c r="K43" s="293">
        <f>'Fig PIII.13'!J42</f>
        <v>0</v>
      </c>
      <c r="L43" s="293">
        <f>'Fig PIII.13'!K42</f>
        <v>0</v>
      </c>
      <c r="M43" s="293">
        <f>'Fig PIII.13'!L42</f>
        <v>0</v>
      </c>
      <c r="N43" s="293">
        <f>'Fig PIII.13'!M42</f>
        <v>0</v>
      </c>
      <c r="O43" s="293">
        <f>'Fig PIII.13'!N42</f>
        <v>0</v>
      </c>
      <c r="P43" s="294">
        <f>'Fig PIII.13'!O42</f>
        <v>0</v>
      </c>
    </row>
    <row r="44" spans="2:16" ht="13">
      <c r="B44" s="282"/>
      <c r="C44" s="292" t="str">
        <f>'Fig PIII.13'!C43</f>
        <v>2-Bedroom</v>
      </c>
      <c r="D44" s="292"/>
      <c r="E44" s="289"/>
      <c r="F44" s="293">
        <f>'Fig PIII.13'!E43</f>
        <v>0</v>
      </c>
      <c r="G44" s="293">
        <f>'Fig PIII.13'!F43</f>
        <v>0</v>
      </c>
      <c r="H44" s="293">
        <f>'Fig PIII.13'!G43</f>
        <v>0</v>
      </c>
      <c r="I44" s="293">
        <f>'Fig PIII.13'!H43</f>
        <v>0</v>
      </c>
      <c r="J44" s="293">
        <f>'Fig PIII.13'!I43</f>
        <v>0</v>
      </c>
      <c r="K44" s="293">
        <f>'Fig PIII.13'!J43</f>
        <v>0</v>
      </c>
      <c r="L44" s="293">
        <f>'Fig PIII.13'!K43</f>
        <v>0</v>
      </c>
      <c r="M44" s="293">
        <f>'Fig PIII.13'!L43</f>
        <v>0</v>
      </c>
      <c r="N44" s="293">
        <f>'Fig PIII.13'!M43</f>
        <v>0</v>
      </c>
      <c r="O44" s="293">
        <f>'Fig PIII.13'!N43</f>
        <v>0</v>
      </c>
      <c r="P44" s="294">
        <f>'Fig PIII.13'!O43</f>
        <v>0</v>
      </c>
    </row>
    <row r="45" spans="2:16" ht="13">
      <c r="B45" s="282"/>
      <c r="C45" s="292" t="str">
        <f>'Fig PIII.13'!C44</f>
        <v>3-Bedroom</v>
      </c>
      <c r="D45" s="292"/>
      <c r="E45" s="289"/>
      <c r="F45" s="297">
        <f>'Fig PIII.13'!E44</f>
        <v>0</v>
      </c>
      <c r="G45" s="297">
        <f>'Fig PIII.13'!F44</f>
        <v>0</v>
      </c>
      <c r="H45" s="297">
        <f>'Fig PIII.13'!G44</f>
        <v>0</v>
      </c>
      <c r="I45" s="297">
        <f>'Fig PIII.13'!H44</f>
        <v>0</v>
      </c>
      <c r="J45" s="297">
        <f>'Fig PIII.13'!I44</f>
        <v>0</v>
      </c>
      <c r="K45" s="297">
        <f>'Fig PIII.13'!J44</f>
        <v>0</v>
      </c>
      <c r="L45" s="297">
        <f>'Fig PIII.13'!K44</f>
        <v>0</v>
      </c>
      <c r="M45" s="297">
        <f>'Fig PIII.13'!L44</f>
        <v>0</v>
      </c>
      <c r="N45" s="297">
        <f>'Fig PIII.13'!M44</f>
        <v>0</v>
      </c>
      <c r="O45" s="297">
        <f>'Fig PIII.13'!N44</f>
        <v>0</v>
      </c>
      <c r="P45" s="298">
        <f>'Fig PIII.13'!O44</f>
        <v>0</v>
      </c>
    </row>
    <row r="46" spans="2:16" ht="13">
      <c r="B46" s="282"/>
      <c r="C46" s="292" t="str">
        <f>'Fig PIII.13'!C45</f>
        <v>Subtotal</v>
      </c>
      <c r="D46" s="292"/>
      <c r="E46" s="289"/>
      <c r="F46" s="293">
        <f>'Fig PIII.13'!E45</f>
        <v>0</v>
      </c>
      <c r="G46" s="293">
        <f>'Fig PIII.13'!F45</f>
        <v>0</v>
      </c>
      <c r="H46" s="293">
        <f>'Fig PIII.13'!G45</f>
        <v>0</v>
      </c>
      <c r="I46" s="293">
        <f>'Fig PIII.13'!H45</f>
        <v>0</v>
      </c>
      <c r="J46" s="293">
        <f>'Fig PIII.13'!I45</f>
        <v>0</v>
      </c>
      <c r="K46" s="293">
        <f>'Fig PIII.13'!J45</f>
        <v>0</v>
      </c>
      <c r="L46" s="293">
        <f>'Fig PIII.13'!K45</f>
        <v>0</v>
      </c>
      <c r="M46" s="293">
        <f>'Fig PIII.13'!L45</f>
        <v>0</v>
      </c>
      <c r="N46" s="293">
        <f>'Fig PIII.13'!M45</f>
        <v>0</v>
      </c>
      <c r="O46" s="293">
        <f>'Fig PIII.13'!N45</f>
        <v>0</v>
      </c>
      <c r="P46" s="294">
        <f>'Fig PIII.13'!O45</f>
        <v>0</v>
      </c>
    </row>
    <row r="47" spans="2:16" ht="13">
      <c r="B47" s="282"/>
      <c r="C47" s="286" t="str">
        <f>'Fig PIII.13'!C46</f>
        <v>Regular Sales</v>
      </c>
      <c r="D47" s="286"/>
      <c r="E47" s="289"/>
      <c r="F47" s="293">
        <f>'Fig PIII.13'!E46</f>
        <v>0</v>
      </c>
      <c r="G47" s="293">
        <f>'Fig PIII.13'!F46</f>
        <v>0</v>
      </c>
      <c r="H47" s="293">
        <f>'Fig PIII.13'!G46</f>
        <v>0</v>
      </c>
      <c r="I47" s="293">
        <f>'Fig PIII.13'!H46</f>
        <v>0</v>
      </c>
      <c r="J47" s="293">
        <f>'Fig PIII.13'!I46</f>
        <v>0</v>
      </c>
      <c r="K47" s="293">
        <f>'Fig PIII.13'!J46</f>
        <v>0</v>
      </c>
      <c r="L47" s="293">
        <f>'Fig PIII.13'!K46</f>
        <v>0</v>
      </c>
      <c r="M47" s="293">
        <f>'Fig PIII.13'!L46</f>
        <v>0</v>
      </c>
      <c r="N47" s="293">
        <f>'Fig PIII.13'!M46</f>
        <v>0</v>
      </c>
      <c r="O47" s="293">
        <f>'Fig PIII.13'!N46</f>
        <v>0</v>
      </c>
      <c r="P47" s="294">
        <f>'Fig PIII.13'!O46</f>
        <v>0</v>
      </c>
    </row>
    <row r="48" spans="2:16" ht="13">
      <c r="B48" s="282"/>
      <c r="C48" s="292" t="str">
        <f>'Fig PIII.13'!C47</f>
        <v>2-Bedroom</v>
      </c>
      <c r="D48" s="292"/>
      <c r="E48" s="289"/>
      <c r="F48" s="293">
        <f>'Fig PIII.13'!E47</f>
        <v>0</v>
      </c>
      <c r="G48" s="293">
        <f>'Fig PIII.13'!F47</f>
        <v>0</v>
      </c>
      <c r="H48" s="293">
        <f>'Fig PIII.13'!G47</f>
        <v>0</v>
      </c>
      <c r="I48" s="293">
        <f>'Fig PIII.13'!H47</f>
        <v>0</v>
      </c>
      <c r="J48" s="293">
        <f>'Fig PIII.13'!I47</f>
        <v>0</v>
      </c>
      <c r="K48" s="293">
        <f>'Fig PIII.13'!J47</f>
        <v>0</v>
      </c>
      <c r="L48" s="293">
        <f>'Fig PIII.13'!K47</f>
        <v>0</v>
      </c>
      <c r="M48" s="293">
        <f>'Fig PIII.13'!L47</f>
        <v>0</v>
      </c>
      <c r="N48" s="293">
        <f>'Fig PIII.13'!M47</f>
        <v>0</v>
      </c>
      <c r="O48" s="293">
        <f>'Fig PIII.13'!N47</f>
        <v>0</v>
      </c>
      <c r="P48" s="294">
        <f>'Fig PIII.13'!O47</f>
        <v>0</v>
      </c>
    </row>
    <row r="49" spans="2:16" ht="13">
      <c r="B49" s="282"/>
      <c r="C49" s="292" t="str">
        <f>'Fig PIII.13'!C48</f>
        <v>3-Bedroom</v>
      </c>
      <c r="D49" s="292"/>
      <c r="E49" s="289"/>
      <c r="F49" s="297">
        <f>'Fig PIII.13'!E48</f>
        <v>0</v>
      </c>
      <c r="G49" s="297">
        <f>'Fig PIII.13'!F48</f>
        <v>0</v>
      </c>
      <c r="H49" s="297">
        <f>'Fig PIII.13'!G48</f>
        <v>0</v>
      </c>
      <c r="I49" s="297">
        <f>'Fig PIII.13'!H48</f>
        <v>0</v>
      </c>
      <c r="J49" s="297">
        <f>'Fig PIII.13'!I48</f>
        <v>0</v>
      </c>
      <c r="K49" s="297">
        <f>'Fig PIII.13'!J48</f>
        <v>0</v>
      </c>
      <c r="L49" s="297">
        <f>'Fig PIII.13'!K48</f>
        <v>0</v>
      </c>
      <c r="M49" s="297">
        <f>'Fig PIII.13'!L48</f>
        <v>0</v>
      </c>
      <c r="N49" s="297">
        <f>'Fig PIII.13'!M48</f>
        <v>0</v>
      </c>
      <c r="O49" s="297">
        <f>'Fig PIII.13'!N48</f>
        <v>0</v>
      </c>
      <c r="P49" s="298">
        <f>'Fig PIII.13'!O48</f>
        <v>0</v>
      </c>
    </row>
    <row r="50" spans="2:16" ht="13">
      <c r="B50" s="282"/>
      <c r="C50" s="292" t="str">
        <f>'Fig PIII.13'!C49</f>
        <v>Subtotal</v>
      </c>
      <c r="D50" s="292"/>
      <c r="E50" s="289"/>
      <c r="F50" s="293">
        <f>'Fig PIII.13'!E49</f>
        <v>0</v>
      </c>
      <c r="G50" s="293">
        <f>'Fig PIII.13'!F49</f>
        <v>0</v>
      </c>
      <c r="H50" s="293">
        <f>'Fig PIII.13'!G49</f>
        <v>0</v>
      </c>
      <c r="I50" s="293">
        <f>'Fig PIII.13'!H49</f>
        <v>0</v>
      </c>
      <c r="J50" s="293">
        <f>'Fig PIII.13'!I49</f>
        <v>0</v>
      </c>
      <c r="K50" s="293">
        <f>'Fig PIII.13'!J49</f>
        <v>0</v>
      </c>
      <c r="L50" s="293">
        <f>'Fig PIII.13'!K49</f>
        <v>0</v>
      </c>
      <c r="M50" s="293">
        <f>'Fig PIII.13'!L49</f>
        <v>0</v>
      </c>
      <c r="N50" s="293">
        <f>'Fig PIII.13'!M49</f>
        <v>0</v>
      </c>
      <c r="O50" s="293">
        <f>'Fig PIII.13'!N49</f>
        <v>0</v>
      </c>
      <c r="P50" s="294">
        <f>'Fig PIII.13'!O49</f>
        <v>0</v>
      </c>
    </row>
    <row r="51" spans="2:16" ht="13">
      <c r="B51" s="282"/>
      <c r="C51" s="299" t="str">
        <f>'Fig PIII.13'!C50</f>
        <v>Total Revenue</v>
      </c>
      <c r="D51" s="299"/>
      <c r="E51" s="289"/>
      <c r="F51" s="293">
        <f>'Fig PIII.13'!E50</f>
        <v>0</v>
      </c>
      <c r="G51" s="293">
        <f>'Fig PIII.13'!F50</f>
        <v>0</v>
      </c>
      <c r="H51" s="293">
        <f>'Fig PIII.13'!G50</f>
        <v>0</v>
      </c>
      <c r="I51" s="293">
        <f>'Fig PIII.13'!H50</f>
        <v>0</v>
      </c>
      <c r="J51" s="293">
        <f>'Fig PIII.13'!I50</f>
        <v>0</v>
      </c>
      <c r="K51" s="293">
        <f>'Fig PIII.13'!J50</f>
        <v>0</v>
      </c>
      <c r="L51" s="293">
        <f>'Fig PIII.13'!K50</f>
        <v>0</v>
      </c>
      <c r="M51" s="293">
        <f>'Fig PIII.13'!L50</f>
        <v>0</v>
      </c>
      <c r="N51" s="293">
        <f>'Fig PIII.13'!M50</f>
        <v>0</v>
      </c>
      <c r="O51" s="293">
        <f>'Fig PIII.13'!N50</f>
        <v>0</v>
      </c>
      <c r="P51" s="294">
        <f>'Fig PIII.13'!O50</f>
        <v>0</v>
      </c>
    </row>
    <row r="52" spans="2:16" ht="13">
      <c r="B52" s="282"/>
      <c r="C52" s="292"/>
      <c r="D52" s="292"/>
      <c r="E52" s="289"/>
      <c r="F52" s="293"/>
      <c r="G52" s="293"/>
      <c r="H52" s="293"/>
      <c r="I52" s="293"/>
      <c r="J52" s="293"/>
      <c r="K52" s="293"/>
      <c r="L52" s="293"/>
      <c r="M52" s="293"/>
      <c r="N52" s="293"/>
      <c r="O52" s="293"/>
      <c r="P52" s="294"/>
    </row>
    <row r="53" spans="2:16" ht="13">
      <c r="B53" s="300" t="str">
        <f>'Fig PIII.13'!C52</f>
        <v>Expenses</v>
      </c>
      <c r="C53" s="284"/>
      <c r="D53" s="284"/>
      <c r="E53" s="289"/>
      <c r="F53" s="289"/>
      <c r="G53" s="289"/>
      <c r="H53" s="289"/>
      <c r="I53" s="289"/>
      <c r="J53" s="289"/>
      <c r="K53" s="289"/>
      <c r="L53" s="289"/>
      <c r="M53" s="289"/>
      <c r="N53" s="289"/>
      <c r="O53" s="289"/>
      <c r="P53" s="290"/>
    </row>
    <row r="54" spans="2:16" ht="13">
      <c r="B54" s="282"/>
      <c r="C54" s="292" t="str">
        <f>'Fig PIII.13'!C53</f>
        <v>Development &amp; Construction</v>
      </c>
      <c r="D54" s="292"/>
      <c r="E54" s="289"/>
      <c r="F54" s="293">
        <f>'Fig PIII.13'!E53</f>
        <v>-100000</v>
      </c>
      <c r="G54" s="293">
        <f>'Fig PIII.13'!F53</f>
        <v>-200000</v>
      </c>
      <c r="H54" s="293">
        <f>'Fig PIII.13'!G53</f>
        <v>-200000</v>
      </c>
      <c r="I54" s="293">
        <f>'Fig PIII.13'!H53</f>
        <v>-300000</v>
      </c>
      <c r="J54" s="293">
        <f>'Fig PIII.13'!I53</f>
        <v>-1000000</v>
      </c>
      <c r="K54" s="293">
        <f>'Fig PIII.13'!J53</f>
        <v>-700000</v>
      </c>
      <c r="L54" s="293">
        <f>'Fig PIII.13'!K53</f>
        <v>-60000</v>
      </c>
      <c r="M54" s="293">
        <f>'Fig PIII.13'!L53</f>
        <v>-32000</v>
      </c>
      <c r="N54" s="293">
        <f>'Fig PIII.13'!M53</f>
        <v>0</v>
      </c>
      <c r="O54" s="293">
        <f>'Fig PIII.13'!N53</f>
        <v>0</v>
      </c>
      <c r="P54" s="294">
        <f>'Fig PIII.13'!O53</f>
        <v>0</v>
      </c>
    </row>
    <row r="55" spans="2:16" ht="13.5" thickBot="1">
      <c r="B55" s="282"/>
      <c r="C55" s="292" t="str">
        <f>'Fig PIII.13'!C54</f>
        <v>Sales Costs</v>
      </c>
      <c r="D55" s="292"/>
      <c r="E55" s="289"/>
      <c r="F55" s="295">
        <f>'Fig PIII.13'!E54</f>
        <v>0</v>
      </c>
      <c r="G55" s="295">
        <f>'Fig PIII.13'!F54</f>
        <v>0</v>
      </c>
      <c r="H55" s="295">
        <f>'Fig PIII.13'!G54</f>
        <v>0</v>
      </c>
      <c r="I55" s="295">
        <f>'Fig PIII.13'!H54</f>
        <v>0</v>
      </c>
      <c r="J55" s="295">
        <f>'Fig PIII.13'!I54</f>
        <v>0</v>
      </c>
      <c r="K55" s="295">
        <f>'Fig PIII.13'!J54</f>
        <v>0</v>
      </c>
      <c r="L55" s="295">
        <f>'Fig PIII.13'!K54</f>
        <v>0</v>
      </c>
      <c r="M55" s="295">
        <f>'Fig PIII.13'!L54</f>
        <v>0</v>
      </c>
      <c r="N55" s="295">
        <f>'Fig PIII.13'!M54</f>
        <v>0</v>
      </c>
      <c r="O55" s="295">
        <f>'Fig PIII.13'!N54</f>
        <v>0</v>
      </c>
      <c r="P55" s="296">
        <f>'Fig PIII.13'!O54</f>
        <v>0</v>
      </c>
    </row>
    <row r="56" spans="2:16" ht="13">
      <c r="B56" s="282"/>
      <c r="C56" s="292" t="str">
        <f>'Fig PIII.13'!C55</f>
        <v>Subtotal</v>
      </c>
      <c r="D56" s="292"/>
      <c r="E56" s="289"/>
      <c r="F56" s="293">
        <f>'Fig PIII.13'!E55</f>
        <v>0</v>
      </c>
      <c r="G56" s="293">
        <f>'Fig PIII.13'!F55</f>
        <v>0</v>
      </c>
      <c r="H56" s="293">
        <f>'Fig PIII.13'!G55</f>
        <v>0</v>
      </c>
      <c r="I56" s="293">
        <f>'Fig PIII.13'!H55</f>
        <v>0</v>
      </c>
      <c r="J56" s="293">
        <f>'Fig PIII.13'!I55</f>
        <v>0</v>
      </c>
      <c r="K56" s="293">
        <f>'Fig PIII.13'!J55</f>
        <v>0</v>
      </c>
      <c r="L56" s="293">
        <f>'Fig PIII.13'!K55</f>
        <v>0</v>
      </c>
      <c r="M56" s="293">
        <f>'Fig PIII.13'!L55</f>
        <v>0</v>
      </c>
      <c r="N56" s="293">
        <f>'Fig PIII.13'!M55</f>
        <v>0</v>
      </c>
      <c r="O56" s="293">
        <f>'Fig PIII.13'!N55</f>
        <v>0</v>
      </c>
      <c r="P56" s="294">
        <f>'Fig PIII.13'!O55</f>
        <v>0</v>
      </c>
    </row>
    <row r="57" spans="2:16" ht="13">
      <c r="B57" s="282"/>
      <c r="C57" s="292"/>
      <c r="D57" s="292"/>
      <c r="E57" s="289"/>
      <c r="F57" s="293"/>
      <c r="G57" s="293"/>
      <c r="H57" s="293"/>
      <c r="I57" s="293"/>
      <c r="J57" s="293"/>
      <c r="K57" s="293"/>
      <c r="L57" s="293"/>
      <c r="M57" s="293"/>
      <c r="N57" s="293"/>
      <c r="O57" s="293"/>
      <c r="P57" s="294"/>
    </row>
    <row r="58" spans="2:16" ht="13">
      <c r="B58" s="301" t="str">
        <f>'Fig PIII.13'!C57</f>
        <v>Unlevered Cash Flow</v>
      </c>
      <c r="C58" s="302"/>
      <c r="D58" s="302"/>
      <c r="E58" s="303">
        <f>'Fig PIII.13'!D57</f>
        <v>0</v>
      </c>
      <c r="F58" s="297">
        <f>'Fig PIII.13'!E57</f>
        <v>0</v>
      </c>
      <c r="G58" s="297">
        <f>'Fig PIII.13'!F57</f>
        <v>0</v>
      </c>
      <c r="H58" s="297">
        <f>'Fig PIII.13'!G57</f>
        <v>0</v>
      </c>
      <c r="I58" s="297">
        <f>'Fig PIII.13'!H57</f>
        <v>0</v>
      </c>
      <c r="J58" s="297">
        <f>'Fig PIII.13'!I57</f>
        <v>0</v>
      </c>
      <c r="K58" s="297">
        <f>'Fig PIII.13'!J57</f>
        <v>0</v>
      </c>
      <c r="L58" s="297">
        <f>'Fig PIII.13'!K57</f>
        <v>0</v>
      </c>
      <c r="M58" s="297">
        <f>'Fig PIII.13'!L57</f>
        <v>0</v>
      </c>
      <c r="N58" s="297">
        <f>'Fig PIII.13'!M57</f>
        <v>0</v>
      </c>
      <c r="O58" s="297">
        <f>'Fig PIII.13'!N57</f>
        <v>0</v>
      </c>
      <c r="P58" s="298">
        <f>'Fig PIII.13'!O57</f>
        <v>0</v>
      </c>
    </row>
    <row r="59" spans="2:16" ht="13">
      <c r="B59" s="17"/>
      <c r="C59" s="18"/>
      <c r="D59" s="18"/>
      <c r="E59" s="16"/>
      <c r="F59" s="64"/>
      <c r="G59" s="64"/>
      <c r="H59" s="64"/>
      <c r="I59" s="64"/>
      <c r="J59" s="64"/>
      <c r="K59" s="64"/>
      <c r="L59" s="64"/>
      <c r="M59" s="64"/>
      <c r="N59" s="64"/>
      <c r="O59" s="64"/>
      <c r="P59" s="64"/>
    </row>
    <row r="60" spans="2:16" ht="13">
      <c r="C60" s="370" t="s">
        <v>180</v>
      </c>
      <c r="D60" s="370"/>
      <c r="E60" s="370"/>
      <c r="F60" s="370"/>
      <c r="G60" s="370"/>
      <c r="H60" s="370"/>
      <c r="I60" s="370"/>
      <c r="J60" s="370"/>
      <c r="K60" s="370"/>
      <c r="L60" s="370"/>
      <c r="M60" s="370"/>
      <c r="N60" s="370"/>
      <c r="O60" s="370"/>
      <c r="P60" s="370"/>
    </row>
    <row r="61" spans="2:16" ht="13.5" thickBot="1">
      <c r="B61" s="329"/>
      <c r="C61" s="156" t="s">
        <v>150</v>
      </c>
    </row>
    <row r="62" spans="2:16" s="244" customFormat="1" ht="15" customHeight="1" thickTop="1" thickBot="1">
      <c r="B62" s="243"/>
      <c r="C62" s="363" t="s">
        <v>132</v>
      </c>
      <c r="D62" s="364"/>
      <c r="E62" s="364"/>
      <c r="F62" s="364"/>
      <c r="G62" s="364"/>
      <c r="H62" s="364"/>
      <c r="I62" s="364"/>
      <c r="J62" s="364"/>
      <c r="K62" s="364"/>
      <c r="L62" s="364"/>
      <c r="M62" s="364"/>
      <c r="N62" s="364"/>
      <c r="O62" s="365"/>
    </row>
    <row r="63" spans="2:16" ht="13.5" thickTop="1">
      <c r="B63" s="243"/>
      <c r="C63" s="227"/>
      <c r="D63" s="228"/>
      <c r="E63" s="228"/>
      <c r="F63" s="228"/>
      <c r="G63" s="228"/>
      <c r="H63" s="228"/>
      <c r="I63" s="228"/>
      <c r="J63" s="228"/>
      <c r="K63" s="228"/>
      <c r="L63" s="228"/>
      <c r="M63" s="228"/>
      <c r="N63" s="228"/>
      <c r="O63" s="239"/>
    </row>
    <row r="64" spans="2:16" ht="13">
      <c r="B64" s="226"/>
      <c r="C64" s="232"/>
      <c r="D64" s="258"/>
      <c r="E64" s="216"/>
      <c r="F64" s="382" t="s">
        <v>76</v>
      </c>
      <c r="G64" s="382"/>
      <c r="H64" s="382"/>
      <c r="I64" s="382"/>
      <c r="J64" s="383" t="s">
        <v>77</v>
      </c>
      <c r="K64" s="383"/>
      <c r="L64" s="383"/>
      <c r="M64" s="383"/>
      <c r="N64" s="241" t="s">
        <v>78</v>
      </c>
      <c r="O64" s="249"/>
    </row>
    <row r="65" spans="2:15" ht="13">
      <c r="B65" s="226"/>
      <c r="C65" s="232"/>
      <c r="D65" s="258"/>
      <c r="E65" s="245" t="s">
        <v>67</v>
      </c>
      <c r="F65" s="218" t="s">
        <v>64</v>
      </c>
      <c r="G65" s="218" t="s">
        <v>63</v>
      </c>
      <c r="H65" s="218" t="s">
        <v>62</v>
      </c>
      <c r="I65" s="218" t="s">
        <v>61</v>
      </c>
      <c r="J65" s="218" t="s">
        <v>64</v>
      </c>
      <c r="K65" s="218" t="s">
        <v>63</v>
      </c>
      <c r="L65" s="218" t="s">
        <v>62</v>
      </c>
      <c r="M65" s="218" t="s">
        <v>61</v>
      </c>
      <c r="N65" s="218" t="s">
        <v>64</v>
      </c>
      <c r="O65" s="250"/>
    </row>
    <row r="66" spans="2:15" ht="13">
      <c r="B66" s="226"/>
      <c r="C66" s="232"/>
      <c r="D66" s="258"/>
      <c r="E66" s="231"/>
      <c r="F66" s="245"/>
      <c r="G66" s="245"/>
      <c r="H66" s="245"/>
      <c r="I66" s="245"/>
      <c r="J66" s="245"/>
      <c r="K66" s="245"/>
      <c r="L66" s="245"/>
      <c r="M66" s="245"/>
      <c r="N66" s="245"/>
      <c r="O66" s="250"/>
    </row>
    <row r="67" spans="2:15" ht="13">
      <c r="B67" s="225"/>
      <c r="C67" s="232" t="s">
        <v>54</v>
      </c>
      <c r="D67" s="258"/>
      <c r="E67" s="248">
        <f t="shared" ref="E67:N67" si="0">E58</f>
        <v>0</v>
      </c>
      <c r="F67" s="248">
        <f t="shared" si="0"/>
        <v>0</v>
      </c>
      <c r="G67" s="248">
        <f t="shared" si="0"/>
        <v>0</v>
      </c>
      <c r="H67" s="248">
        <f t="shared" si="0"/>
        <v>0</v>
      </c>
      <c r="I67" s="248">
        <f t="shared" si="0"/>
        <v>0</v>
      </c>
      <c r="J67" s="248">
        <f t="shared" si="0"/>
        <v>0</v>
      </c>
      <c r="K67" s="248">
        <f t="shared" si="0"/>
        <v>0</v>
      </c>
      <c r="L67" s="248">
        <f t="shared" si="0"/>
        <v>0</v>
      </c>
      <c r="M67" s="248">
        <f t="shared" si="0"/>
        <v>0</v>
      </c>
      <c r="N67" s="248">
        <f t="shared" si="0"/>
        <v>0</v>
      </c>
      <c r="O67" s="250"/>
    </row>
    <row r="68" spans="2:15" s="15" customFormat="1" ht="3.75" customHeight="1">
      <c r="B68" s="226"/>
      <c r="C68" s="232"/>
      <c r="D68" s="258"/>
      <c r="E68" s="246"/>
      <c r="F68" s="246"/>
      <c r="G68" s="246"/>
      <c r="H68" s="246"/>
      <c r="I68" s="246"/>
      <c r="J68" s="246"/>
      <c r="K68" s="246"/>
      <c r="L68" s="246"/>
      <c r="M68" s="246"/>
      <c r="N68" s="246"/>
      <c r="O68" s="230"/>
    </row>
    <row r="69" spans="2:15" s="15" customFormat="1" ht="5.25" hidden="1" customHeight="1">
      <c r="B69" s="226"/>
      <c r="C69" s="232"/>
      <c r="D69" s="258"/>
      <c r="E69" s="247"/>
      <c r="F69" s="247"/>
      <c r="G69" s="247"/>
      <c r="H69" s="247"/>
      <c r="I69" s="247"/>
      <c r="J69" s="247"/>
      <c r="K69" s="247"/>
      <c r="L69" s="247"/>
      <c r="M69" s="247"/>
      <c r="N69" s="247"/>
      <c r="O69" s="230"/>
    </row>
    <row r="70" spans="2:15" ht="13" hidden="1">
      <c r="B70" s="17"/>
      <c r="C70" s="232"/>
      <c r="D70" s="258"/>
      <c r="E70" s="246"/>
      <c r="F70" s="246"/>
      <c r="G70" s="246"/>
      <c r="H70" s="246"/>
      <c r="I70" s="246"/>
      <c r="J70" s="246"/>
      <c r="K70" s="246"/>
      <c r="L70" s="246"/>
      <c r="M70" s="246"/>
      <c r="N70" s="246"/>
      <c r="O70" s="250"/>
    </row>
    <row r="71" spans="2:15" ht="14.5" customHeight="1">
      <c r="B71" s="225"/>
      <c r="C71" s="251" t="s">
        <v>47</v>
      </c>
      <c r="D71" s="219"/>
      <c r="E71" s="246"/>
      <c r="F71" s="246"/>
      <c r="G71" s="246"/>
      <c r="H71" s="246"/>
      <c r="I71" s="246"/>
      <c r="J71" s="246"/>
      <c r="K71" s="246"/>
      <c r="L71" s="246"/>
      <c r="M71" s="246"/>
      <c r="N71" s="246"/>
      <c r="O71" s="250"/>
    </row>
    <row r="72" spans="2:15" ht="13">
      <c r="B72" s="17"/>
      <c r="C72" s="232" t="s">
        <v>74</v>
      </c>
      <c r="D72" s="258"/>
      <c r="E72" s="246"/>
      <c r="F72" s="246"/>
      <c r="G72" s="246"/>
      <c r="H72" s="246"/>
      <c r="I72" s="246"/>
      <c r="J72" s="246"/>
      <c r="K72" s="246"/>
      <c r="L72" s="246"/>
      <c r="M72" s="246"/>
      <c r="N72" s="246"/>
      <c r="O72" s="250"/>
    </row>
    <row r="73" spans="2:15" ht="13">
      <c r="B73" s="226"/>
      <c r="C73" s="235" t="s">
        <v>73</v>
      </c>
      <c r="D73" s="245" t="s">
        <v>135</v>
      </c>
      <c r="E73" s="357"/>
      <c r="F73" s="357"/>
      <c r="G73" s="357"/>
      <c r="H73" s="357"/>
      <c r="I73" s="357"/>
      <c r="J73" s="357"/>
      <c r="K73" s="357"/>
      <c r="L73" s="357"/>
      <c r="M73" s="357"/>
      <c r="N73" s="357"/>
      <c r="O73" s="250"/>
    </row>
    <row r="74" spans="2:15" ht="13">
      <c r="B74" s="226"/>
      <c r="C74" s="235" t="s">
        <v>72</v>
      </c>
      <c r="D74" s="245"/>
      <c r="E74" s="246"/>
      <c r="F74" s="357"/>
      <c r="G74" s="357"/>
      <c r="H74" s="357"/>
      <c r="I74" s="357"/>
      <c r="J74" s="357"/>
      <c r="K74" s="357"/>
      <c r="L74" s="357"/>
      <c r="M74" s="357"/>
      <c r="N74" s="357"/>
      <c r="O74" s="250"/>
    </row>
    <row r="75" spans="2:15" ht="13">
      <c r="B75" s="226"/>
      <c r="C75" s="235" t="s">
        <v>134</v>
      </c>
      <c r="D75" s="260">
        <f>SUM(E75:N75)</f>
        <v>0</v>
      </c>
      <c r="E75" s="357"/>
      <c r="F75" s="357"/>
      <c r="G75" s="357"/>
      <c r="H75" s="357"/>
      <c r="I75" s="357"/>
      <c r="J75" s="357"/>
      <c r="K75" s="357"/>
      <c r="L75" s="357"/>
      <c r="M75" s="357"/>
      <c r="N75" s="357"/>
      <c r="O75" s="250"/>
    </row>
    <row r="76" spans="2:15" ht="13">
      <c r="B76" s="226"/>
      <c r="C76" s="235" t="s">
        <v>133</v>
      </c>
      <c r="D76" s="260">
        <f>SUM(E76:N76)</f>
        <v>0</v>
      </c>
      <c r="E76" s="246"/>
      <c r="F76" s="358"/>
      <c r="G76" s="358"/>
      <c r="H76" s="358"/>
      <c r="I76" s="358"/>
      <c r="J76" s="358"/>
      <c r="K76" s="358"/>
      <c r="L76" s="358"/>
      <c r="M76" s="358"/>
      <c r="N76" s="358"/>
      <c r="O76" s="250"/>
    </row>
    <row r="77" spans="2:15" ht="13">
      <c r="B77" s="226"/>
      <c r="C77" s="235" t="s">
        <v>71</v>
      </c>
      <c r="D77" s="260"/>
      <c r="E77" s="246">
        <f>E75</f>
        <v>0</v>
      </c>
      <c r="F77" s="359"/>
      <c r="G77" s="359"/>
      <c r="H77" s="359"/>
      <c r="I77" s="359"/>
      <c r="J77" s="359"/>
      <c r="K77" s="359"/>
      <c r="L77" s="359"/>
      <c r="M77" s="359"/>
      <c r="N77" s="359"/>
      <c r="O77" s="250"/>
    </row>
    <row r="78" spans="2:15" ht="13">
      <c r="B78" s="226"/>
      <c r="C78" s="232" t="s">
        <v>2</v>
      </c>
      <c r="D78" s="260"/>
      <c r="E78" s="246"/>
      <c r="F78" s="246"/>
      <c r="G78" s="246"/>
      <c r="H78" s="246"/>
      <c r="I78" s="246"/>
      <c r="J78" s="246"/>
      <c r="K78" s="246"/>
      <c r="L78" s="246"/>
      <c r="M78" s="246"/>
      <c r="N78" s="246"/>
      <c r="O78" s="250"/>
    </row>
    <row r="79" spans="2:15" ht="13">
      <c r="B79" s="226"/>
      <c r="C79" s="235" t="s">
        <v>70</v>
      </c>
      <c r="D79" s="260"/>
      <c r="E79" s="246"/>
      <c r="F79" s="357"/>
      <c r="G79" s="357"/>
      <c r="H79" s="357"/>
      <c r="I79" s="357"/>
      <c r="J79" s="357"/>
      <c r="K79" s="357"/>
      <c r="L79" s="357"/>
      <c r="M79" s="357"/>
      <c r="N79" s="357"/>
      <c r="O79" s="250"/>
    </row>
    <row r="80" spans="2:15" ht="13">
      <c r="B80" s="226"/>
      <c r="C80" s="235" t="s">
        <v>2</v>
      </c>
      <c r="D80" s="260">
        <f>SUM(E80:N80)</f>
        <v>0</v>
      </c>
      <c r="E80" s="246"/>
      <c r="F80" s="357"/>
      <c r="G80" s="357"/>
      <c r="H80" s="357"/>
      <c r="I80" s="357"/>
      <c r="J80" s="357"/>
      <c r="K80" s="357"/>
      <c r="L80" s="357"/>
      <c r="M80" s="357"/>
      <c r="N80" s="357"/>
      <c r="O80" s="250"/>
    </row>
    <row r="81" spans="2:15" ht="13">
      <c r="B81" s="226"/>
      <c r="C81" s="235" t="s">
        <v>133</v>
      </c>
      <c r="D81" s="260">
        <f>SUM(E81:N81)</f>
        <v>0</v>
      </c>
      <c r="E81" s="246"/>
      <c r="F81" s="358"/>
      <c r="G81" s="358"/>
      <c r="H81" s="358"/>
      <c r="I81" s="358"/>
      <c r="J81" s="358"/>
      <c r="K81" s="358"/>
      <c r="L81" s="358"/>
      <c r="M81" s="358"/>
      <c r="N81" s="358"/>
      <c r="O81" s="250"/>
    </row>
    <row r="82" spans="2:15" ht="20.25" customHeight="1" thickBot="1">
      <c r="B82" s="226"/>
      <c r="C82" s="252" t="s">
        <v>69</v>
      </c>
      <c r="D82" s="259"/>
      <c r="E82" s="253"/>
      <c r="F82" s="356"/>
      <c r="G82" s="356"/>
      <c r="H82" s="356"/>
      <c r="I82" s="356"/>
      <c r="J82" s="356"/>
      <c r="K82" s="356"/>
      <c r="L82" s="356"/>
      <c r="M82" s="356"/>
      <c r="N82" s="356"/>
      <c r="O82" s="254"/>
    </row>
    <row r="83" spans="2:15" ht="13" thickTop="1"/>
    <row r="84" spans="2:15">
      <c r="C84" s="342" t="s">
        <v>176</v>
      </c>
      <c r="D84" s="343">
        <f>-D76-D81-D75</f>
        <v>0</v>
      </c>
    </row>
  </sheetData>
  <mergeCells count="6">
    <mergeCell ref="F64:I64"/>
    <mergeCell ref="J64:M64"/>
    <mergeCell ref="B28:P28"/>
    <mergeCell ref="B29:P29"/>
    <mergeCell ref="C62:O62"/>
    <mergeCell ref="C60:P60"/>
  </mergeCells>
  <conditionalFormatting sqref="D84">
    <cfRule type="cellIs" dxfId="2" priority="1" operator="lessThan">
      <formula>0</formula>
    </cfRule>
    <cfRule type="cellIs" dxfId="1" priority="2" operator="greaterThan">
      <formula>0</formula>
    </cfRule>
    <cfRule type="cellIs" dxfId="0" priority="3" operator="equal">
      <formula>0</formula>
    </cfRule>
  </conditionalFormatting>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84"/>
  <sheetViews>
    <sheetView zoomScaleNormal="100" workbookViewId="0"/>
  </sheetViews>
  <sheetFormatPr defaultColWidth="9" defaultRowHeight="12"/>
  <cols>
    <col min="1" max="1" width="2.6328125" style="3" customWidth="1"/>
    <col min="2" max="2" width="22.7265625" style="3" customWidth="1"/>
    <col min="3" max="3" width="10.1796875" style="3" customWidth="1"/>
    <col min="4" max="9" width="7.6328125" style="3" customWidth="1"/>
    <col min="10" max="10" width="8.6328125" style="3" customWidth="1"/>
    <col min="11" max="11" width="1.6328125" style="3" customWidth="1"/>
    <col min="12" max="16384" width="9" style="3"/>
  </cols>
  <sheetData>
    <row r="1" spans="2:9">
      <c r="B1" s="2"/>
    </row>
    <row r="2" spans="2:9">
      <c r="B2" s="66" t="s">
        <v>79</v>
      </c>
      <c r="D2" s="7"/>
    </row>
    <row r="3" spans="2:9">
      <c r="B3" s="68" t="s">
        <v>8</v>
      </c>
      <c r="D3" s="261">
        <v>6700000</v>
      </c>
      <c r="F3" s="72" t="s">
        <v>10</v>
      </c>
      <c r="I3" s="20">
        <v>0.15</v>
      </c>
    </row>
    <row r="4" spans="2:9">
      <c r="B4" s="69" t="s">
        <v>21</v>
      </c>
      <c r="D4" s="261">
        <v>5000000</v>
      </c>
      <c r="F4" s="72" t="s">
        <v>12</v>
      </c>
      <c r="H4" s="8"/>
      <c r="I4" s="20">
        <v>0.21</v>
      </c>
    </row>
    <row r="5" spans="2:9">
      <c r="B5" s="70" t="s">
        <v>20</v>
      </c>
      <c r="D5" s="262">
        <f>D3-D4</f>
        <v>1700000</v>
      </c>
      <c r="F5" s="72" t="s">
        <v>11</v>
      </c>
      <c r="I5" s="20">
        <v>0.25</v>
      </c>
    </row>
    <row r="6" spans="2:9">
      <c r="B6" s="67"/>
      <c r="F6" s="68" t="s">
        <v>9</v>
      </c>
      <c r="I6" s="261">
        <v>1150000</v>
      </c>
    </row>
    <row r="7" spans="2:9">
      <c r="B7" s="70" t="s">
        <v>22</v>
      </c>
      <c r="D7" s="19">
        <v>0.05</v>
      </c>
      <c r="F7" s="69" t="s">
        <v>81</v>
      </c>
      <c r="H7" s="8"/>
      <c r="I7" s="263">
        <f>D3-I6</f>
        <v>5550000</v>
      </c>
    </row>
    <row r="8" spans="2:9">
      <c r="B8" s="67" t="s">
        <v>84</v>
      </c>
      <c r="D8" s="22">
        <v>10000</v>
      </c>
      <c r="F8" s="70" t="s">
        <v>82</v>
      </c>
      <c r="H8" s="8"/>
      <c r="I8" s="21">
        <v>27.5</v>
      </c>
    </row>
    <row r="9" spans="2:9">
      <c r="B9" s="70" t="s">
        <v>83</v>
      </c>
      <c r="D9" s="74">
        <f>-PMT(D7,D8,D4)</f>
        <v>250000</v>
      </c>
      <c r="F9" s="67"/>
    </row>
    <row r="10" spans="2:9">
      <c r="B10" s="70" t="s">
        <v>80</v>
      </c>
      <c r="D10" s="19">
        <v>0</v>
      </c>
      <c r="F10" s="67" t="s">
        <v>88</v>
      </c>
      <c r="I10" s="24">
        <v>0.1</v>
      </c>
    </row>
    <row r="11" spans="2:9">
      <c r="B11" s="71" t="s">
        <v>86</v>
      </c>
      <c r="D11" s="27">
        <v>7</v>
      </c>
    </row>
    <row r="12" spans="2:9">
      <c r="B12" s="67"/>
    </row>
    <row r="13" spans="2:9">
      <c r="B13" s="70" t="s">
        <v>14</v>
      </c>
      <c r="D13" s="261">
        <v>1000000</v>
      </c>
    </row>
    <row r="14" spans="2:9">
      <c r="B14" s="70" t="s">
        <v>15</v>
      </c>
      <c r="D14" s="20">
        <v>0.03</v>
      </c>
    </row>
    <row r="15" spans="2:9">
      <c r="B15" s="72" t="s">
        <v>16</v>
      </c>
      <c r="D15" s="20">
        <v>0.05</v>
      </c>
    </row>
    <row r="16" spans="2:9">
      <c r="B16" s="70" t="s">
        <v>17</v>
      </c>
      <c r="D16" s="19">
        <v>0.05</v>
      </c>
    </row>
    <row r="17" spans="2:11">
      <c r="B17" s="72" t="s">
        <v>152</v>
      </c>
      <c r="D17" s="19">
        <v>0.14000000000000001</v>
      </c>
    </row>
    <row r="18" spans="2:11">
      <c r="B18" s="70" t="s">
        <v>19</v>
      </c>
      <c r="D18" s="19">
        <v>0.03</v>
      </c>
    </row>
    <row r="19" spans="2:11">
      <c r="B19" s="67" t="s">
        <v>33</v>
      </c>
      <c r="D19" s="24">
        <v>4.4999999999999998E-2</v>
      </c>
    </row>
    <row r="20" spans="2:11">
      <c r="B20" s="70" t="s">
        <v>13</v>
      </c>
      <c r="D20" s="20">
        <v>0.08</v>
      </c>
    </row>
    <row r="21" spans="2:11">
      <c r="B21" s="70" t="s">
        <v>159</v>
      </c>
      <c r="D21" s="20">
        <v>0.02</v>
      </c>
    </row>
    <row r="22" spans="2:11" ht="12.5" thickBot="1">
      <c r="B22" s="366" t="s">
        <v>177</v>
      </c>
      <c r="C22" s="366"/>
      <c r="D22" s="366"/>
      <c r="E22" s="366"/>
      <c r="F22" s="366"/>
      <c r="G22" s="366"/>
      <c r="H22" s="366"/>
      <c r="I22" s="366"/>
      <c r="J22" s="366"/>
      <c r="K22" s="366"/>
    </row>
    <row r="23" spans="2:11" ht="15" customHeight="1" thickTop="1" thickBot="1">
      <c r="B23" s="363" t="s">
        <v>137</v>
      </c>
      <c r="C23" s="364"/>
      <c r="D23" s="364"/>
      <c r="E23" s="364"/>
      <c r="F23" s="364"/>
      <c r="G23" s="364"/>
      <c r="H23" s="364"/>
      <c r="I23" s="364"/>
      <c r="J23" s="364"/>
      <c r="K23" s="365"/>
    </row>
    <row r="24" spans="2:11" ht="12.5" thickTop="1">
      <c r="B24" s="77"/>
      <c r="C24" s="78"/>
      <c r="D24" s="78"/>
      <c r="E24" s="79"/>
      <c r="F24" s="79"/>
      <c r="G24" s="79"/>
      <c r="H24" s="79"/>
      <c r="I24" s="79"/>
      <c r="J24" s="79"/>
      <c r="K24" s="89"/>
    </row>
    <row r="25" spans="2:11" ht="12" customHeight="1">
      <c r="B25" s="80"/>
      <c r="C25" s="79" t="s">
        <v>67</v>
      </c>
      <c r="D25" s="91">
        <v>1</v>
      </c>
      <c r="E25" s="91">
        <v>2</v>
      </c>
      <c r="F25" s="91">
        <v>3</v>
      </c>
      <c r="G25" s="91">
        <v>4</v>
      </c>
      <c r="H25" s="91">
        <v>5</v>
      </c>
      <c r="I25" s="91">
        <v>6</v>
      </c>
      <c r="J25" s="91">
        <v>7</v>
      </c>
      <c r="K25" s="89"/>
    </row>
    <row r="26" spans="2:11" ht="12" customHeight="1">
      <c r="B26" s="86"/>
      <c r="C26" s="76"/>
      <c r="D26" s="81"/>
      <c r="E26" s="81"/>
      <c r="F26" s="81"/>
      <c r="G26" s="81"/>
      <c r="H26" s="81"/>
      <c r="I26" s="81"/>
      <c r="J26" s="81"/>
      <c r="K26" s="89"/>
    </row>
    <row r="27" spans="2:11" ht="12" customHeight="1">
      <c r="B27" s="87" t="s">
        <v>23</v>
      </c>
      <c r="C27" s="98">
        <f>-D4</f>
        <v>-5000000</v>
      </c>
      <c r="D27" s="98">
        <v>0</v>
      </c>
      <c r="E27" s="98">
        <v>0</v>
      </c>
      <c r="F27" s="98">
        <v>0</v>
      </c>
      <c r="G27" s="98">
        <v>0</v>
      </c>
      <c r="H27" s="98">
        <v>0</v>
      </c>
      <c r="I27" s="98">
        <v>0</v>
      </c>
      <c r="J27" s="98">
        <v>0</v>
      </c>
      <c r="K27" s="89"/>
    </row>
    <row r="28" spans="2:11" ht="12" customHeight="1">
      <c r="B28" s="87" t="s">
        <v>24</v>
      </c>
      <c r="C28" s="98">
        <v>0</v>
      </c>
      <c r="D28" s="98">
        <f t="shared" ref="D28:J28" si="0">$D$9</f>
        <v>250000</v>
      </c>
      <c r="E28" s="98">
        <f t="shared" si="0"/>
        <v>250000</v>
      </c>
      <c r="F28" s="98">
        <f t="shared" si="0"/>
        <v>250000</v>
      </c>
      <c r="G28" s="98">
        <f t="shared" si="0"/>
        <v>250000</v>
      </c>
      <c r="H28" s="98">
        <f t="shared" si="0"/>
        <v>250000</v>
      </c>
      <c r="I28" s="98">
        <f t="shared" si="0"/>
        <v>250000</v>
      </c>
      <c r="J28" s="98">
        <f t="shared" si="0"/>
        <v>250000</v>
      </c>
      <c r="K28" s="89"/>
    </row>
    <row r="29" spans="2:11" ht="12" customHeight="1">
      <c r="B29" s="87" t="s">
        <v>25</v>
      </c>
      <c r="C29" s="99">
        <v>0</v>
      </c>
      <c r="D29" s="99">
        <v>0</v>
      </c>
      <c r="E29" s="99">
        <v>0</v>
      </c>
      <c r="F29" s="99">
        <v>0</v>
      </c>
      <c r="G29" s="99">
        <v>0</v>
      </c>
      <c r="H29" s="99">
        <v>0</v>
      </c>
      <c r="I29" s="99">
        <v>0</v>
      </c>
      <c r="J29" s="99">
        <f>D4</f>
        <v>5000000</v>
      </c>
      <c r="K29" s="89"/>
    </row>
    <row r="30" spans="2:11" ht="12" customHeight="1">
      <c r="B30" s="87" t="s">
        <v>136</v>
      </c>
      <c r="C30" s="345"/>
      <c r="D30" s="345"/>
      <c r="E30" s="345"/>
      <c r="F30" s="345"/>
      <c r="G30" s="345"/>
      <c r="H30" s="345"/>
      <c r="I30" s="345"/>
      <c r="J30" s="345"/>
      <c r="K30" s="89"/>
    </row>
    <row r="31" spans="2:11" ht="12" customHeight="1">
      <c r="B31" s="87"/>
      <c r="C31" s="82"/>
      <c r="D31" s="82"/>
      <c r="E31" s="82"/>
      <c r="F31" s="82"/>
      <c r="G31" s="82"/>
      <c r="H31" s="82"/>
      <c r="I31" s="82"/>
      <c r="J31" s="82"/>
      <c r="K31" s="89"/>
    </row>
    <row r="32" spans="2:11" ht="20.25" customHeight="1" thickBot="1">
      <c r="B32" s="88" t="s">
        <v>26</v>
      </c>
      <c r="C32" s="346"/>
      <c r="D32" s="83"/>
      <c r="E32" s="83"/>
      <c r="F32" s="83"/>
      <c r="G32" s="83"/>
      <c r="H32" s="83"/>
      <c r="I32" s="83"/>
      <c r="J32" s="84"/>
      <c r="K32" s="90"/>
    </row>
    <row r="33" ht="12.5" thickTop="1"/>
    <row r="53" spans="2:4">
      <c r="B53" s="2"/>
      <c r="D53" s="11"/>
    </row>
    <row r="58" spans="2:4">
      <c r="B58" s="5"/>
      <c r="D58" s="6"/>
    </row>
    <row r="61" spans="2:4">
      <c r="B61" s="2"/>
      <c r="D61" s="4"/>
    </row>
    <row r="63" spans="2:4">
      <c r="B63" s="5"/>
      <c r="D63" s="10"/>
    </row>
    <row r="64" spans="2:4">
      <c r="B64" s="5"/>
      <c r="D64" s="9"/>
    </row>
    <row r="65" spans="2:4">
      <c r="B65" s="5"/>
      <c r="D65" s="12"/>
    </row>
    <row r="75" spans="2:4">
      <c r="B75" s="8"/>
    </row>
    <row r="76" spans="2:4">
      <c r="B76" s="8"/>
    </row>
    <row r="77" spans="2:4">
      <c r="B77" s="8"/>
    </row>
    <row r="78" spans="2:4">
      <c r="B78" s="8"/>
    </row>
    <row r="79" spans="2:4">
      <c r="B79" s="8"/>
    </row>
    <row r="80" spans="2:4">
      <c r="B80" s="8"/>
    </row>
    <row r="81" spans="2:2">
      <c r="B81" s="8"/>
    </row>
    <row r="82" spans="2:2">
      <c r="B82" s="8"/>
    </row>
    <row r="83" spans="2:2">
      <c r="B83" s="8"/>
    </row>
    <row r="84" spans="2:2">
      <c r="B84" s="8"/>
    </row>
    <row r="85" spans="2:2">
      <c r="B85" s="8"/>
    </row>
    <row r="86" spans="2:2">
      <c r="B86" s="8"/>
    </row>
    <row r="87" spans="2:2">
      <c r="B87" s="8"/>
    </row>
    <row r="88" spans="2:2">
      <c r="B88" s="8"/>
    </row>
    <row r="89" spans="2:2">
      <c r="B89" s="8"/>
    </row>
    <row r="90" spans="2:2">
      <c r="B90" s="8"/>
    </row>
    <row r="91" spans="2:2">
      <c r="B91" s="8"/>
    </row>
    <row r="92" spans="2:2">
      <c r="B92" s="8"/>
    </row>
    <row r="93" spans="2:2">
      <c r="B93" s="8"/>
    </row>
    <row r="94" spans="2:2">
      <c r="B94" s="8"/>
    </row>
    <row r="95" spans="2:2">
      <c r="B95" s="8"/>
    </row>
    <row r="96" spans="2:2">
      <c r="B96" s="8"/>
    </row>
    <row r="97" spans="2:2">
      <c r="B97" s="8"/>
    </row>
    <row r="98" spans="2:2">
      <c r="B98" s="8"/>
    </row>
    <row r="99" spans="2:2">
      <c r="B99" s="8"/>
    </row>
    <row r="100" spans="2:2">
      <c r="B100" s="8"/>
    </row>
    <row r="101" spans="2:2">
      <c r="B101" s="8"/>
    </row>
    <row r="102" spans="2:2">
      <c r="B102" s="8"/>
    </row>
    <row r="103" spans="2:2">
      <c r="B103" s="8"/>
    </row>
    <row r="104" spans="2:2">
      <c r="B104" s="8"/>
    </row>
    <row r="105" spans="2:2">
      <c r="B105" s="8"/>
    </row>
    <row r="106" spans="2:2">
      <c r="B106" s="8"/>
    </row>
    <row r="107" spans="2:2">
      <c r="B107" s="8"/>
    </row>
    <row r="108" spans="2:2">
      <c r="B108" s="8"/>
    </row>
    <row r="109" spans="2:2">
      <c r="B109" s="8"/>
    </row>
    <row r="110" spans="2:2">
      <c r="B110" s="8"/>
    </row>
    <row r="111" spans="2:2">
      <c r="B111" s="8"/>
    </row>
    <row r="112" spans="2:2">
      <c r="B112" s="8"/>
    </row>
    <row r="113" spans="2:2">
      <c r="B113" s="8"/>
    </row>
    <row r="114" spans="2:2">
      <c r="B114" s="8"/>
    </row>
    <row r="115" spans="2:2">
      <c r="B115" s="8"/>
    </row>
    <row r="116" spans="2:2">
      <c r="B116" s="8"/>
    </row>
    <row r="117" spans="2:2">
      <c r="B117" s="8"/>
    </row>
    <row r="118" spans="2:2">
      <c r="B118" s="8"/>
    </row>
    <row r="119" spans="2:2">
      <c r="B119" s="8"/>
    </row>
    <row r="120" spans="2:2">
      <c r="B120" s="8"/>
    </row>
    <row r="121" spans="2:2">
      <c r="B121" s="8"/>
    </row>
    <row r="122" spans="2:2">
      <c r="B122" s="8"/>
    </row>
    <row r="123" spans="2:2">
      <c r="B123" s="8"/>
    </row>
    <row r="124" spans="2:2">
      <c r="B124" s="8"/>
    </row>
    <row r="125" spans="2:2">
      <c r="B125" s="8"/>
    </row>
    <row r="126" spans="2:2">
      <c r="B126" s="8"/>
    </row>
    <row r="127" spans="2:2">
      <c r="B127" s="8"/>
    </row>
    <row r="128" spans="2:2">
      <c r="B128" s="8"/>
    </row>
    <row r="129" spans="2:2">
      <c r="B129" s="8"/>
    </row>
    <row r="130" spans="2:2">
      <c r="B130" s="8"/>
    </row>
    <row r="131" spans="2:2">
      <c r="B131" s="8"/>
    </row>
    <row r="132" spans="2:2">
      <c r="B132" s="8"/>
    </row>
    <row r="133" spans="2:2">
      <c r="B133" s="8"/>
    </row>
    <row r="134" spans="2:2">
      <c r="B134" s="8"/>
    </row>
    <row r="135" spans="2:2">
      <c r="B135" s="8"/>
    </row>
    <row r="136" spans="2:2">
      <c r="B136" s="8"/>
    </row>
    <row r="137" spans="2:2">
      <c r="B137" s="8"/>
    </row>
    <row r="138" spans="2:2">
      <c r="B138" s="8"/>
    </row>
    <row r="139" spans="2:2">
      <c r="B139" s="8"/>
    </row>
    <row r="140" spans="2:2">
      <c r="B140" s="8"/>
    </row>
    <row r="141" spans="2:2">
      <c r="B141" s="8"/>
    </row>
    <row r="142" spans="2:2">
      <c r="B142" s="8"/>
    </row>
    <row r="143" spans="2:2">
      <c r="B143" s="8"/>
    </row>
    <row r="144" spans="2:2">
      <c r="B144" s="8"/>
    </row>
    <row r="145" spans="2:2">
      <c r="B145" s="8"/>
    </row>
    <row r="146" spans="2:2">
      <c r="B146" s="8"/>
    </row>
    <row r="147" spans="2:2">
      <c r="B147" s="8"/>
    </row>
    <row r="148" spans="2:2">
      <c r="B148" s="8"/>
    </row>
    <row r="149" spans="2:2">
      <c r="B149" s="8"/>
    </row>
    <row r="150" spans="2:2">
      <c r="B150" s="8"/>
    </row>
    <row r="151" spans="2:2">
      <c r="B151" s="8"/>
    </row>
    <row r="152" spans="2:2">
      <c r="B152" s="8"/>
    </row>
    <row r="153" spans="2:2">
      <c r="B153" s="8"/>
    </row>
    <row r="154" spans="2:2">
      <c r="B154" s="8"/>
    </row>
    <row r="155" spans="2:2">
      <c r="B155" s="8"/>
    </row>
    <row r="156" spans="2:2">
      <c r="B156" s="8"/>
    </row>
    <row r="157" spans="2:2">
      <c r="B157" s="8"/>
    </row>
    <row r="158" spans="2:2">
      <c r="B158" s="8"/>
    </row>
    <row r="159" spans="2:2">
      <c r="B159" s="8"/>
    </row>
    <row r="160" spans="2:2">
      <c r="B160" s="8"/>
    </row>
    <row r="161" spans="2:2">
      <c r="B161" s="8"/>
    </row>
    <row r="162" spans="2:2">
      <c r="B162" s="8"/>
    </row>
    <row r="163" spans="2:2">
      <c r="B163" s="8"/>
    </row>
    <row r="164" spans="2:2">
      <c r="B164" s="8"/>
    </row>
    <row r="165" spans="2:2">
      <c r="B165" s="8"/>
    </row>
    <row r="166" spans="2:2">
      <c r="B166" s="8"/>
    </row>
    <row r="167" spans="2:2">
      <c r="B167" s="8"/>
    </row>
    <row r="168" spans="2:2">
      <c r="B168" s="8"/>
    </row>
    <row r="169" spans="2:2">
      <c r="B169" s="8"/>
    </row>
    <row r="170" spans="2:2">
      <c r="B170" s="8"/>
    </row>
    <row r="171" spans="2:2">
      <c r="B171" s="8"/>
    </row>
    <row r="172" spans="2:2">
      <c r="B172" s="8"/>
    </row>
    <row r="173" spans="2:2">
      <c r="B173" s="8"/>
    </row>
    <row r="174" spans="2:2">
      <c r="B174" s="8"/>
    </row>
    <row r="175" spans="2:2">
      <c r="B175" s="8"/>
    </row>
    <row r="176" spans="2:2">
      <c r="B176" s="8"/>
    </row>
    <row r="177" spans="2:2">
      <c r="B177" s="8"/>
    </row>
    <row r="178" spans="2:2">
      <c r="B178" s="8"/>
    </row>
    <row r="179" spans="2:2">
      <c r="B179" s="8"/>
    </row>
    <row r="180" spans="2:2">
      <c r="B180" s="8"/>
    </row>
    <row r="181" spans="2:2">
      <c r="B181" s="8"/>
    </row>
    <row r="182" spans="2:2">
      <c r="B182" s="8"/>
    </row>
    <row r="183" spans="2:2">
      <c r="B183" s="8"/>
    </row>
    <row r="184" spans="2:2">
      <c r="B184" s="8"/>
    </row>
  </sheetData>
  <mergeCells count="2">
    <mergeCell ref="B23:K23"/>
    <mergeCell ref="B22:K22"/>
  </mergeCells>
  <phoneticPr fontId="2" type="noConversion"/>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1"/>
  <sheetViews>
    <sheetView topLeftCell="A29" zoomScaleNormal="100" workbookViewId="0">
      <selection activeCell="A37" sqref="A37"/>
    </sheetView>
  </sheetViews>
  <sheetFormatPr defaultColWidth="9" defaultRowHeight="12" outlineLevelRow="2" outlineLevelCol="1"/>
  <cols>
    <col min="1" max="1" width="2.6328125" style="3" customWidth="1"/>
    <col min="2" max="2" width="23" style="3" customWidth="1"/>
    <col min="3" max="3" width="9.7265625" style="3" customWidth="1" outlineLevel="1"/>
    <col min="4" max="9" width="7.6328125" style="3" customWidth="1"/>
    <col min="10" max="10" width="8.6328125" style="3" customWidth="1"/>
    <col min="11" max="11" width="1.6328125" style="3" customWidth="1"/>
    <col min="12" max="13" width="9" style="3"/>
    <col min="14" max="14" width="9" style="3" customWidth="1"/>
    <col min="15" max="16384" width="9" style="3"/>
  </cols>
  <sheetData>
    <row r="1" spans="2:10">
      <c r="B1" s="26"/>
      <c r="C1" s="26"/>
      <c r="D1" s="25" t="s">
        <v>85</v>
      </c>
    </row>
    <row r="2" spans="2:10">
      <c r="B2" s="92" t="str">
        <f>'Fig PIII.1'!B2</f>
        <v>Assumptions:</v>
      </c>
      <c r="C2" s="92"/>
      <c r="D2" s="67"/>
      <c r="E2" s="67"/>
      <c r="F2" s="67"/>
      <c r="G2" s="67"/>
      <c r="H2" s="67"/>
      <c r="I2" s="67"/>
      <c r="J2" s="67"/>
    </row>
    <row r="3" spans="2:10">
      <c r="B3" s="67" t="str">
        <f>'Fig PIII.1'!B3</f>
        <v>Acquisition Cost</v>
      </c>
      <c r="C3" s="67"/>
      <c r="D3" s="67"/>
      <c r="E3" s="67"/>
      <c r="F3" s="270">
        <f>'Fig PIII.1'!D3</f>
        <v>6700000</v>
      </c>
      <c r="G3" s="67"/>
      <c r="H3" s="67" t="str">
        <f>'Fig PIII.1'!F3</f>
        <v>Capital Gains Tax Rate</v>
      </c>
      <c r="I3" s="67"/>
      <c r="J3" s="94">
        <f>'Fig PIII.1'!I3</f>
        <v>0.15</v>
      </c>
    </row>
    <row r="4" spans="2:10">
      <c r="B4" s="67" t="str">
        <f>'Fig PIII.1'!B4</f>
        <v>First Mortgage Loan Amount</v>
      </c>
      <c r="C4" s="67"/>
      <c r="D4" s="67"/>
      <c r="E4" s="67"/>
      <c r="F4" s="270">
        <f>'Fig PIII.1'!D4</f>
        <v>5000000</v>
      </c>
      <c r="G4" s="67"/>
      <c r="H4" s="67" t="str">
        <f>'Fig PIII.1'!F4</f>
        <v>Ordinary Income Tax Rate</v>
      </c>
      <c r="I4" s="67"/>
      <c r="J4" s="94">
        <f>'Fig PIII.1'!I4</f>
        <v>0.21</v>
      </c>
    </row>
    <row r="5" spans="2:10">
      <c r="B5" s="67" t="str">
        <f>'Fig PIII.1'!B5</f>
        <v>Equity Investment</v>
      </c>
      <c r="C5" s="67"/>
      <c r="D5" s="67"/>
      <c r="E5" s="67"/>
      <c r="F5" s="270">
        <f>'Fig PIII.1'!D5</f>
        <v>1700000</v>
      </c>
      <c r="G5" s="67"/>
      <c r="H5" s="67" t="str">
        <f>'Fig PIII.1'!F5</f>
        <v>Tax Rate on Accumulated Depreciation</v>
      </c>
      <c r="I5" s="67"/>
      <c r="J5" s="94">
        <f>'Fig PIII.1'!I5</f>
        <v>0.25</v>
      </c>
    </row>
    <row r="6" spans="2:10">
      <c r="B6" s="67"/>
      <c r="C6" s="67"/>
      <c r="D6" s="67"/>
      <c r="E6" s="67"/>
      <c r="F6" s="67"/>
      <c r="G6" s="67"/>
      <c r="H6" s="67" t="str">
        <f>'Fig PIII.1'!F6</f>
        <v>Implied Land Value</v>
      </c>
      <c r="I6" s="67"/>
      <c r="J6" s="93">
        <f>'Fig PIII.1'!I6</f>
        <v>1150000</v>
      </c>
    </row>
    <row r="7" spans="2:10">
      <c r="B7" s="67" t="str">
        <f>'Fig PIII.1'!B7</f>
        <v>First Mortgage Interest Rate (%)</v>
      </c>
      <c r="C7" s="67"/>
      <c r="D7" s="67"/>
      <c r="E7" s="67"/>
      <c r="F7" s="94">
        <f>'Fig PIII.1'!D7</f>
        <v>0.05</v>
      </c>
      <c r="G7" s="67"/>
      <c r="H7" s="67" t="str">
        <f>'Fig PIII.1'!F7</f>
        <v>Depreciable Basis</v>
      </c>
      <c r="I7" s="67"/>
      <c r="J7" s="93">
        <f>'Fig PIII.1'!I7</f>
        <v>5550000</v>
      </c>
    </row>
    <row r="8" spans="2:10">
      <c r="B8" s="67" t="str">
        <f>'Fig PIII.1'!B8</f>
        <v>Amortization Term (Years)</v>
      </c>
      <c r="C8" s="67"/>
      <c r="D8" s="67"/>
      <c r="E8" s="67"/>
      <c r="F8" s="95">
        <f>'Fig PIII.1'!D8</f>
        <v>10000</v>
      </c>
      <c r="G8" s="67"/>
      <c r="H8" s="67" t="str">
        <f>'Fig PIII.1'!F8</f>
        <v>Depreciable Life (in Years)</v>
      </c>
      <c r="I8" s="67"/>
      <c r="J8" s="67">
        <f>'Fig PIII.1'!I8</f>
        <v>27.5</v>
      </c>
    </row>
    <row r="9" spans="2:10">
      <c r="B9" s="67" t="str">
        <f>'Fig PIII.1'!B9</f>
        <v>First Mortgage Annual Debt Payment (annual payments)</v>
      </c>
      <c r="C9" s="67"/>
      <c r="D9" s="67"/>
      <c r="E9" s="67"/>
      <c r="F9" s="93">
        <f>'Fig PIII.1'!D9</f>
        <v>250000</v>
      </c>
      <c r="G9" s="67"/>
      <c r="H9" s="67"/>
      <c r="I9" s="67"/>
      <c r="J9" s="67"/>
    </row>
    <row r="10" spans="2:10">
      <c r="B10" s="67" t="str">
        <f>'Fig PIII.1'!B10</f>
        <v>Loan Points</v>
      </c>
      <c r="C10" s="67"/>
      <c r="D10" s="67"/>
      <c r="E10" s="67"/>
      <c r="F10" s="94">
        <f>'Fig PIII.1'!D10</f>
        <v>0</v>
      </c>
      <c r="G10" s="67"/>
      <c r="H10" s="67" t="str">
        <f>'Fig PIII.1'!F10</f>
        <v>Discount Rate</v>
      </c>
      <c r="I10" s="67"/>
      <c r="J10" s="94">
        <f>'Fig PIII.1'!I10</f>
        <v>0.1</v>
      </c>
    </row>
    <row r="11" spans="2:10">
      <c r="B11" s="67" t="str">
        <f>'Fig PIII.1'!B11</f>
        <v>Years of Loan Points Amortization</v>
      </c>
      <c r="C11" s="67"/>
      <c r="D11" s="67"/>
      <c r="E11" s="67"/>
      <c r="F11" s="95">
        <f>'Fig PIII.1'!D11</f>
        <v>7</v>
      </c>
      <c r="G11" s="67"/>
      <c r="H11" s="67"/>
      <c r="I11" s="67"/>
      <c r="J11" s="67"/>
    </row>
    <row r="12" spans="2:10">
      <c r="B12" s="67"/>
      <c r="C12" s="67"/>
      <c r="D12" s="67"/>
      <c r="E12" s="67"/>
      <c r="F12" s="67"/>
      <c r="G12" s="67"/>
      <c r="H12" s="67"/>
      <c r="I12" s="67"/>
      <c r="J12" s="67"/>
    </row>
    <row r="13" spans="2:10">
      <c r="B13" s="67" t="str">
        <f>'Fig PIII.1'!B13</f>
        <v>1st Year Base Rent Revenues</v>
      </c>
      <c r="C13" s="67"/>
      <c r="D13" s="67"/>
      <c r="E13" s="67"/>
      <c r="F13" s="270">
        <f>'Fig PIII.1'!D13</f>
        <v>1000000</v>
      </c>
      <c r="G13" s="67"/>
      <c r="H13" s="67"/>
      <c r="I13" s="67"/>
      <c r="J13" s="67"/>
    </row>
    <row r="14" spans="2:10">
      <c r="B14" s="67" t="str">
        <f>'Fig PIII.1'!B14</f>
        <v>Base Rent Annual Increase</v>
      </c>
      <c r="C14" s="67"/>
      <c r="D14" s="67"/>
      <c r="E14" s="67"/>
      <c r="F14" s="94">
        <f>'Fig PIII.1'!D14</f>
        <v>0.03</v>
      </c>
      <c r="G14" s="67"/>
      <c r="H14" s="67"/>
      <c r="I14" s="67"/>
      <c r="J14" s="67"/>
    </row>
    <row r="15" spans="2:10">
      <c r="B15" s="67" t="str">
        <f>'Fig PIII.1'!B15</f>
        <v>Projected Vacancy</v>
      </c>
      <c r="C15" s="67"/>
      <c r="D15" s="67"/>
      <c r="E15" s="67"/>
      <c r="F15" s="94">
        <f>'Fig PIII.1'!D15</f>
        <v>0.05</v>
      </c>
      <c r="G15" s="67"/>
      <c r="H15" s="67"/>
      <c r="I15" s="67"/>
      <c r="J15" s="67"/>
    </row>
    <row r="16" spans="2:10">
      <c r="B16" s="67" t="str">
        <f>'Fig PIII.1'!B16</f>
        <v>Annual Operating Expense Increase</v>
      </c>
      <c r="C16" s="67"/>
      <c r="D16" s="67"/>
      <c r="E16" s="67"/>
      <c r="F16" s="94">
        <f>'Fig PIII.1'!D16</f>
        <v>0.05</v>
      </c>
      <c r="G16" s="67"/>
      <c r="H16" s="67"/>
      <c r="I16" s="67"/>
      <c r="J16" s="67"/>
    </row>
    <row r="17" spans="2:11">
      <c r="B17" s="67" t="str">
        <f>'Fig PIII.1'!B17</f>
        <v>First Year RE Taxes as % of gross rent roll</v>
      </c>
      <c r="C17" s="67"/>
      <c r="D17" s="67"/>
      <c r="E17" s="67"/>
      <c r="F17" s="94">
        <f>'Fig PIII.1'!D17</f>
        <v>0.14000000000000001</v>
      </c>
      <c r="G17" s="67"/>
      <c r="H17" s="67"/>
      <c r="I17" s="67"/>
      <c r="J17" s="67"/>
    </row>
    <row r="18" spans="2:11">
      <c r="B18" s="67" t="str">
        <f>'Fig PIII.1'!B18</f>
        <v>Annual Real Estate Tax Increase</v>
      </c>
      <c r="C18" s="67"/>
      <c r="D18" s="67"/>
      <c r="E18" s="67"/>
      <c r="F18" s="94">
        <f>'Fig PIII.1'!D18</f>
        <v>0.03</v>
      </c>
      <c r="G18" s="67"/>
      <c r="H18" s="67"/>
      <c r="I18" s="67"/>
      <c r="J18" s="67"/>
    </row>
    <row r="19" spans="2:11">
      <c r="B19" s="67" t="str">
        <f>'Fig PIII.1'!B19</f>
        <v>Replacement Reserve</v>
      </c>
      <c r="C19" s="67"/>
      <c r="D19" s="67"/>
      <c r="E19" s="67"/>
      <c r="F19" s="94">
        <f>'Fig PIII.1'!D19</f>
        <v>4.4999999999999998E-2</v>
      </c>
      <c r="G19" s="67"/>
      <c r="H19" s="67"/>
      <c r="I19" s="67"/>
      <c r="J19" s="67"/>
    </row>
    <row r="20" spans="2:11">
      <c r="B20" s="67" t="str">
        <f>'Fig PIII.1'!B20</f>
        <v>Going-Out Capitalization Rate</v>
      </c>
      <c r="C20" s="67"/>
      <c r="D20" s="67"/>
      <c r="E20" s="67"/>
      <c r="F20" s="94">
        <f>'Fig PIII.1'!D20</f>
        <v>0.08</v>
      </c>
      <c r="G20" s="67"/>
      <c r="H20" s="67"/>
      <c r="I20" s="67"/>
      <c r="J20" s="67"/>
    </row>
    <row r="21" spans="2:11">
      <c r="B21" s="67" t="str">
        <f>'Fig PIII.1'!B21</f>
        <v>Selling Costs</v>
      </c>
      <c r="C21" s="67"/>
      <c r="D21" s="67"/>
      <c r="E21" s="67"/>
      <c r="F21" s="94">
        <f>'Fig PIII.1'!D21</f>
        <v>0.02</v>
      </c>
      <c r="G21" s="67"/>
      <c r="H21" s="67"/>
      <c r="I21" s="67"/>
      <c r="J21" s="67"/>
    </row>
    <row r="22" spans="2:11" ht="12" customHeight="1"/>
    <row r="23" spans="2:11">
      <c r="B23" s="28"/>
      <c r="C23" s="28"/>
      <c r="D23" s="368" t="s">
        <v>105</v>
      </c>
      <c r="E23" s="368"/>
      <c r="F23" s="368"/>
      <c r="G23" s="368"/>
      <c r="H23" s="368"/>
      <c r="I23" s="368"/>
      <c r="J23" s="368"/>
      <c r="K23" s="368"/>
    </row>
    <row r="24" spans="2:11">
      <c r="B24" s="28"/>
      <c r="C24" s="28"/>
      <c r="D24" s="124">
        <v>1</v>
      </c>
      <c r="E24" s="124">
        <v>2</v>
      </c>
      <c r="F24" s="124">
        <v>3</v>
      </c>
      <c r="G24" s="124">
        <v>4</v>
      </c>
      <c r="H24" s="124">
        <v>5</v>
      </c>
      <c r="I24" s="124">
        <v>6</v>
      </c>
      <c r="J24" s="124">
        <v>7</v>
      </c>
      <c r="K24" s="124">
        <v>8</v>
      </c>
    </row>
    <row r="25" spans="2:11">
      <c r="B25" s="28"/>
      <c r="C25" s="28"/>
      <c r="D25" s="28"/>
      <c r="E25" s="28"/>
      <c r="F25" s="28"/>
      <c r="G25" s="28"/>
      <c r="H25" s="28"/>
      <c r="I25" s="28"/>
      <c r="J25" s="28"/>
      <c r="K25" s="28"/>
    </row>
    <row r="26" spans="2:11">
      <c r="B26" s="121" t="s">
        <v>27</v>
      </c>
      <c r="C26" s="121"/>
      <c r="D26" s="125">
        <f>F13</f>
        <v>1000000</v>
      </c>
      <c r="E26" s="126">
        <f>D26*(1+$F$14)</f>
        <v>1030000</v>
      </c>
      <c r="F26" s="126">
        <f t="shared" ref="F26:K26" si="0">E26*(1+$F$14)</f>
        <v>1060900</v>
      </c>
      <c r="G26" s="126">
        <f t="shared" si="0"/>
        <v>1092727</v>
      </c>
      <c r="H26" s="126">
        <f t="shared" si="0"/>
        <v>1125508.81</v>
      </c>
      <c r="I26" s="126">
        <f t="shared" si="0"/>
        <v>1159274.0743</v>
      </c>
      <c r="J26" s="126">
        <f t="shared" si="0"/>
        <v>1194052.2965289999</v>
      </c>
      <c r="K26" s="126">
        <f t="shared" si="0"/>
        <v>1229873.86542487</v>
      </c>
    </row>
    <row r="27" spans="2:11">
      <c r="B27" s="122" t="s">
        <v>28</v>
      </c>
      <c r="C27" s="122"/>
      <c r="D27" s="127">
        <v>0</v>
      </c>
      <c r="E27" s="127">
        <v>0</v>
      </c>
      <c r="F27" s="127">
        <v>0</v>
      </c>
      <c r="G27" s="127">
        <v>0</v>
      </c>
      <c r="H27" s="127">
        <v>0</v>
      </c>
      <c r="I27" s="127">
        <v>0</v>
      </c>
      <c r="J27" s="127">
        <v>0</v>
      </c>
      <c r="K27" s="127">
        <v>0</v>
      </c>
    </row>
    <row r="28" spans="2:11">
      <c r="B28" s="121" t="s">
        <v>29</v>
      </c>
      <c r="C28" s="121"/>
      <c r="D28" s="126">
        <f t="shared" ref="D28:K28" si="1">D26+D27</f>
        <v>1000000</v>
      </c>
      <c r="E28" s="126">
        <f t="shared" si="1"/>
        <v>1030000</v>
      </c>
      <c r="F28" s="126">
        <f t="shared" si="1"/>
        <v>1060900</v>
      </c>
      <c r="G28" s="126">
        <f t="shared" si="1"/>
        <v>1092727</v>
      </c>
      <c r="H28" s="126">
        <f t="shared" si="1"/>
        <v>1125508.81</v>
      </c>
      <c r="I28" s="126">
        <f t="shared" si="1"/>
        <v>1159274.0743</v>
      </c>
      <c r="J28" s="126">
        <f t="shared" si="1"/>
        <v>1194052.2965289999</v>
      </c>
      <c r="K28" s="126">
        <f t="shared" si="1"/>
        <v>1229873.86542487</v>
      </c>
    </row>
    <row r="29" spans="2:11">
      <c r="B29" s="121" t="s">
        <v>156</v>
      </c>
      <c r="C29" s="121"/>
      <c r="D29" s="128">
        <f>-$F$15*D28</f>
        <v>-50000</v>
      </c>
      <c r="E29" s="128">
        <f t="shared" ref="E29:K29" si="2">-$F$15*E28</f>
        <v>-51500</v>
      </c>
      <c r="F29" s="128">
        <f t="shared" si="2"/>
        <v>-53045</v>
      </c>
      <c r="G29" s="128">
        <f t="shared" si="2"/>
        <v>-54636.350000000006</v>
      </c>
      <c r="H29" s="128">
        <f t="shared" si="2"/>
        <v>-56275.440500000004</v>
      </c>
      <c r="I29" s="128">
        <f t="shared" si="2"/>
        <v>-57963.703715000003</v>
      </c>
      <c r="J29" s="128">
        <f t="shared" si="2"/>
        <v>-59702.614826450001</v>
      </c>
      <c r="K29" s="128">
        <f t="shared" si="2"/>
        <v>-61493.693271243508</v>
      </c>
    </row>
    <row r="30" spans="2:11">
      <c r="B30" s="121" t="s">
        <v>30</v>
      </c>
      <c r="C30" s="121"/>
      <c r="D30" s="126">
        <f t="shared" ref="D30:K30" si="3">D28+D29</f>
        <v>950000</v>
      </c>
      <c r="E30" s="126">
        <f t="shared" si="3"/>
        <v>978500</v>
      </c>
      <c r="F30" s="126">
        <f t="shared" si="3"/>
        <v>1007855</v>
      </c>
      <c r="G30" s="126">
        <f t="shared" si="3"/>
        <v>1038090.65</v>
      </c>
      <c r="H30" s="126">
        <f t="shared" si="3"/>
        <v>1069233.3695</v>
      </c>
      <c r="I30" s="126">
        <f t="shared" si="3"/>
        <v>1101310.3705849999</v>
      </c>
      <c r="J30" s="126">
        <f t="shared" si="3"/>
        <v>1134349.68170255</v>
      </c>
      <c r="K30" s="126">
        <f t="shared" si="3"/>
        <v>1168380.1721536266</v>
      </c>
    </row>
    <row r="31" spans="2:11">
      <c r="B31" s="122"/>
      <c r="C31" s="122"/>
      <c r="D31" s="129"/>
      <c r="E31" s="129"/>
      <c r="F31" s="129"/>
      <c r="G31" s="129"/>
      <c r="H31" s="129"/>
      <c r="I31" s="129"/>
      <c r="J31" s="129"/>
      <c r="K31" s="129"/>
    </row>
    <row r="32" spans="2:11">
      <c r="B32" s="121" t="s">
        <v>31</v>
      </c>
      <c r="C32" s="121"/>
      <c r="D32" s="126">
        <v>-246574</v>
      </c>
      <c r="E32" s="126">
        <f>D32*(1+$F$16)</f>
        <v>-258902.7</v>
      </c>
      <c r="F32" s="126">
        <f t="shared" ref="F32:K32" si="4">E32*(1+$F$16)</f>
        <v>-271847.83500000002</v>
      </c>
      <c r="G32" s="126">
        <f t="shared" si="4"/>
        <v>-285440.22675000003</v>
      </c>
      <c r="H32" s="126">
        <f t="shared" si="4"/>
        <v>-299712.23808750004</v>
      </c>
      <c r="I32" s="126">
        <f t="shared" si="4"/>
        <v>-314697.84999187506</v>
      </c>
      <c r="J32" s="126">
        <f t="shared" si="4"/>
        <v>-330432.74249146885</v>
      </c>
      <c r="K32" s="126">
        <f t="shared" si="4"/>
        <v>-346954.37961604231</v>
      </c>
    </row>
    <row r="33" spans="1:11">
      <c r="B33" s="121" t="s">
        <v>32</v>
      </c>
      <c r="C33" s="121"/>
      <c r="D33" s="126">
        <f>-(D28*F17)</f>
        <v>-140000</v>
      </c>
      <c r="E33" s="126">
        <f>D33*(1+$F$18)</f>
        <v>-144200</v>
      </c>
      <c r="F33" s="126">
        <f t="shared" ref="F33:K33" si="5">E33*(1+$F$18)</f>
        <v>-148526</v>
      </c>
      <c r="G33" s="126">
        <f t="shared" si="5"/>
        <v>-152981.78</v>
      </c>
      <c r="H33" s="126">
        <f t="shared" si="5"/>
        <v>-157571.2334</v>
      </c>
      <c r="I33" s="126">
        <f t="shared" si="5"/>
        <v>-162298.370402</v>
      </c>
      <c r="J33" s="126">
        <f t="shared" si="5"/>
        <v>-167167.32151405999</v>
      </c>
      <c r="K33" s="126">
        <f t="shared" si="5"/>
        <v>-172182.34115948179</v>
      </c>
    </row>
    <row r="34" spans="1:11">
      <c r="B34" s="121" t="s">
        <v>33</v>
      </c>
      <c r="C34" s="121"/>
      <c r="D34" s="128">
        <f>-$F$19*D28</f>
        <v>-45000</v>
      </c>
      <c r="E34" s="128">
        <f t="shared" ref="E34:K34" si="6">-$F$19*E28</f>
        <v>-46350</v>
      </c>
      <c r="F34" s="128">
        <f t="shared" si="6"/>
        <v>-47740.5</v>
      </c>
      <c r="G34" s="128">
        <f t="shared" si="6"/>
        <v>-49172.714999999997</v>
      </c>
      <c r="H34" s="128">
        <f t="shared" si="6"/>
        <v>-50647.89645</v>
      </c>
      <c r="I34" s="128">
        <f t="shared" si="6"/>
        <v>-52167.333343499995</v>
      </c>
      <c r="J34" s="128">
        <f t="shared" si="6"/>
        <v>-53732.353343804993</v>
      </c>
      <c r="K34" s="128">
        <f t="shared" si="6"/>
        <v>-55344.323944119147</v>
      </c>
    </row>
    <row r="35" spans="1:11">
      <c r="B35" s="122"/>
      <c r="C35" s="122"/>
      <c r="D35" s="129"/>
      <c r="E35" s="129"/>
      <c r="F35" s="129"/>
      <c r="G35" s="129"/>
      <c r="H35" s="129"/>
      <c r="I35" s="129"/>
      <c r="J35" s="129"/>
      <c r="K35" s="129"/>
    </row>
    <row r="36" spans="1:11">
      <c r="B36" s="121" t="s">
        <v>34</v>
      </c>
      <c r="C36" s="121"/>
      <c r="D36" s="126">
        <f t="shared" ref="D36:K36" si="7">D30+SUM(D32:D34)</f>
        <v>518426</v>
      </c>
      <c r="E36" s="126">
        <f t="shared" si="7"/>
        <v>529047.30000000005</v>
      </c>
      <c r="F36" s="126">
        <f t="shared" si="7"/>
        <v>539740.66500000004</v>
      </c>
      <c r="G36" s="126">
        <f t="shared" si="7"/>
        <v>550495.92825</v>
      </c>
      <c r="H36" s="126">
        <f t="shared" si="7"/>
        <v>561302.00156250002</v>
      </c>
      <c r="I36" s="126">
        <f t="shared" si="7"/>
        <v>572146.81684762484</v>
      </c>
      <c r="J36" s="126">
        <f t="shared" si="7"/>
        <v>583017.26435321628</v>
      </c>
      <c r="K36" s="126">
        <f t="shared" si="7"/>
        <v>593899.12743398338</v>
      </c>
    </row>
    <row r="37" spans="1:11">
      <c r="B37" s="370" t="s">
        <v>177</v>
      </c>
      <c r="C37" s="370"/>
      <c r="D37" s="370"/>
      <c r="E37" s="370"/>
      <c r="F37" s="370"/>
      <c r="G37" s="370"/>
      <c r="H37" s="370"/>
      <c r="I37" s="370"/>
      <c r="J37" s="370"/>
      <c r="K37" s="370"/>
    </row>
    <row r="38" spans="1:11" ht="12.5" thickBot="1">
      <c r="B38" s="156" t="s">
        <v>154</v>
      </c>
      <c r="C38" s="156"/>
    </row>
    <row r="39" spans="1:11" ht="15" customHeight="1" thickTop="1" thickBot="1">
      <c r="B39" s="363" t="s">
        <v>138</v>
      </c>
      <c r="C39" s="364"/>
      <c r="D39" s="364"/>
      <c r="E39" s="364"/>
      <c r="F39" s="364"/>
      <c r="G39" s="364"/>
      <c r="H39" s="364"/>
      <c r="I39" s="364"/>
      <c r="J39" s="364"/>
      <c r="K39" s="365"/>
    </row>
    <row r="40" spans="1:11" ht="12.5" thickTop="1">
      <c r="B40" s="100"/>
      <c r="C40" s="75"/>
      <c r="D40" s="75"/>
      <c r="E40" s="75"/>
      <c r="F40" s="75"/>
      <c r="G40" s="75"/>
      <c r="H40" s="75"/>
      <c r="I40" s="75"/>
      <c r="J40" s="75"/>
      <c r="K40" s="101"/>
    </row>
    <row r="41" spans="1:11">
      <c r="B41" s="102"/>
      <c r="C41" s="96"/>
      <c r="D41" s="97">
        <v>1</v>
      </c>
      <c r="E41" s="97">
        <v>2</v>
      </c>
      <c r="F41" s="97">
        <v>3</v>
      </c>
      <c r="G41" s="97">
        <v>4</v>
      </c>
      <c r="H41" s="97">
        <v>5</v>
      </c>
      <c r="I41" s="97">
        <v>6</v>
      </c>
      <c r="J41" s="97">
        <v>7</v>
      </c>
      <c r="K41" s="112">
        <v>8</v>
      </c>
    </row>
    <row r="42" spans="1:11">
      <c r="B42" s="102"/>
      <c r="C42" s="96"/>
      <c r="D42" s="97"/>
      <c r="E42" s="97"/>
      <c r="F42" s="97"/>
      <c r="G42" s="97"/>
      <c r="H42" s="97"/>
      <c r="I42" s="97"/>
      <c r="J42" s="97"/>
      <c r="K42" s="113"/>
    </row>
    <row r="43" spans="1:11" outlineLevel="1">
      <c r="A43" s="369" t="s">
        <v>157</v>
      </c>
      <c r="B43" s="87" t="s">
        <v>34</v>
      </c>
      <c r="C43" s="109"/>
      <c r="D43" s="98">
        <f t="shared" ref="D43:K43" si="8">D36</f>
        <v>518426</v>
      </c>
      <c r="E43" s="98">
        <f t="shared" si="8"/>
        <v>529047.30000000005</v>
      </c>
      <c r="F43" s="98">
        <f t="shared" si="8"/>
        <v>539740.66500000004</v>
      </c>
      <c r="G43" s="98">
        <f t="shared" si="8"/>
        <v>550495.92825</v>
      </c>
      <c r="H43" s="98">
        <f t="shared" si="8"/>
        <v>561302.00156250002</v>
      </c>
      <c r="I43" s="98">
        <f t="shared" si="8"/>
        <v>572146.81684762484</v>
      </c>
      <c r="J43" s="98">
        <f t="shared" si="8"/>
        <v>583017.26435321628</v>
      </c>
      <c r="K43" s="114">
        <f t="shared" si="8"/>
        <v>593899.12743398338</v>
      </c>
    </row>
    <row r="44" spans="1:11" outlineLevel="1">
      <c r="A44" s="369"/>
      <c r="B44" s="116" t="s">
        <v>80</v>
      </c>
      <c r="C44" s="107"/>
      <c r="D44" s="117" t="s">
        <v>75</v>
      </c>
      <c r="E44" s="117" t="s">
        <v>75</v>
      </c>
      <c r="F44" s="117" t="s">
        <v>75</v>
      </c>
      <c r="G44" s="117" t="s">
        <v>75</v>
      </c>
      <c r="H44" s="117" t="s">
        <v>75</v>
      </c>
      <c r="I44" s="117" t="s">
        <v>75</v>
      </c>
      <c r="J44" s="117" t="s">
        <v>75</v>
      </c>
      <c r="K44" s="114"/>
    </row>
    <row r="45" spans="1:11" outlineLevel="1">
      <c r="A45" s="369"/>
      <c r="B45" s="116" t="s">
        <v>106</v>
      </c>
      <c r="C45" s="107"/>
      <c r="D45" s="347"/>
      <c r="E45" s="347"/>
      <c r="F45" s="347"/>
      <c r="G45" s="347"/>
      <c r="H45" s="347"/>
      <c r="I45" s="347"/>
      <c r="J45" s="347"/>
      <c r="K45" s="103"/>
    </row>
    <row r="46" spans="1:11" outlineLevel="1">
      <c r="A46" s="369"/>
      <c r="B46" s="87" t="s">
        <v>139</v>
      </c>
      <c r="C46" s="109"/>
      <c r="D46" s="98">
        <f t="shared" ref="D46:J46" si="9">SUM(D43:D45)</f>
        <v>518426</v>
      </c>
      <c r="E46" s="98">
        <f t="shared" si="9"/>
        <v>529047.30000000005</v>
      </c>
      <c r="F46" s="98">
        <f t="shared" si="9"/>
        <v>539740.66500000004</v>
      </c>
      <c r="G46" s="98">
        <f t="shared" si="9"/>
        <v>550495.92825</v>
      </c>
      <c r="H46" s="98">
        <f t="shared" si="9"/>
        <v>561302.00156250002</v>
      </c>
      <c r="I46" s="98">
        <f t="shared" si="9"/>
        <v>572146.81684762484</v>
      </c>
      <c r="J46" s="98">
        <f t="shared" si="9"/>
        <v>583017.26435321628</v>
      </c>
      <c r="K46" s="103"/>
    </row>
    <row r="47" spans="1:11" outlineLevel="1">
      <c r="A47" s="369"/>
      <c r="B47" s="106"/>
      <c r="C47" s="157"/>
      <c r="D47" s="98"/>
      <c r="E47" s="98"/>
      <c r="F47" s="98"/>
      <c r="G47" s="98"/>
      <c r="H47" s="98"/>
      <c r="I47" s="98"/>
      <c r="J47" s="98"/>
      <c r="K47" s="103"/>
    </row>
    <row r="48" spans="1:11" outlineLevel="1">
      <c r="A48" s="369"/>
      <c r="B48" s="87" t="s">
        <v>109</v>
      </c>
      <c r="C48" s="109"/>
      <c r="D48" s="98">
        <f>-$J$7/$J$8</f>
        <v>-201818.18181818182</v>
      </c>
      <c r="E48" s="98">
        <f t="shared" ref="E48:J48" si="10">-$J$7/$J$8</f>
        <v>-201818.18181818182</v>
      </c>
      <c r="F48" s="98">
        <f t="shared" si="10"/>
        <v>-201818.18181818182</v>
      </c>
      <c r="G48" s="98">
        <f t="shared" si="10"/>
        <v>-201818.18181818182</v>
      </c>
      <c r="H48" s="98">
        <f t="shared" si="10"/>
        <v>-201818.18181818182</v>
      </c>
      <c r="I48" s="98">
        <f t="shared" si="10"/>
        <v>-201818.18181818182</v>
      </c>
      <c r="J48" s="98">
        <f t="shared" si="10"/>
        <v>-201818.18181818182</v>
      </c>
      <c r="K48" s="103"/>
    </row>
    <row r="49" spans="1:11" outlineLevel="1">
      <c r="A49" s="369"/>
      <c r="B49" s="87" t="s">
        <v>110</v>
      </c>
      <c r="C49" s="109"/>
      <c r="D49" s="98">
        <f t="shared" ref="D49:J49" si="11">-D34</f>
        <v>45000</v>
      </c>
      <c r="E49" s="98">
        <f t="shared" si="11"/>
        <v>46350</v>
      </c>
      <c r="F49" s="98">
        <f t="shared" si="11"/>
        <v>47740.5</v>
      </c>
      <c r="G49" s="98">
        <f t="shared" si="11"/>
        <v>49172.714999999997</v>
      </c>
      <c r="H49" s="98">
        <f t="shared" si="11"/>
        <v>50647.89645</v>
      </c>
      <c r="I49" s="98">
        <f t="shared" si="11"/>
        <v>52167.333343499995</v>
      </c>
      <c r="J49" s="98">
        <f t="shared" si="11"/>
        <v>53732.353343804993</v>
      </c>
      <c r="K49" s="103"/>
    </row>
    <row r="50" spans="1:11" outlineLevel="1">
      <c r="A50" s="369"/>
      <c r="B50" s="87" t="s">
        <v>111</v>
      </c>
      <c r="C50" s="109"/>
      <c r="D50" s="117" t="s">
        <v>75</v>
      </c>
      <c r="E50" s="117" t="s">
        <v>75</v>
      </c>
      <c r="F50" s="117" t="s">
        <v>75</v>
      </c>
      <c r="G50" s="117" t="s">
        <v>75</v>
      </c>
      <c r="H50" s="117" t="s">
        <v>75</v>
      </c>
      <c r="I50" s="117" t="s">
        <v>75</v>
      </c>
      <c r="J50" s="117" t="s">
        <v>75</v>
      </c>
      <c r="K50" s="103"/>
    </row>
    <row r="51" spans="1:11" outlineLevel="1">
      <c r="A51" s="369"/>
      <c r="B51" s="87" t="s">
        <v>112</v>
      </c>
      <c r="C51" s="109"/>
      <c r="D51" s="120" t="s">
        <v>75</v>
      </c>
      <c r="E51" s="120" t="s">
        <v>75</v>
      </c>
      <c r="F51" s="120" t="s">
        <v>75</v>
      </c>
      <c r="G51" s="120" t="s">
        <v>75</v>
      </c>
      <c r="H51" s="120" t="s">
        <v>75</v>
      </c>
      <c r="I51" s="120" t="s">
        <v>75</v>
      </c>
      <c r="J51" s="120" t="s">
        <v>75</v>
      </c>
      <c r="K51" s="103"/>
    </row>
    <row r="52" spans="1:11" ht="12" customHeight="1" outlineLevel="2">
      <c r="A52" s="369"/>
      <c r="B52" s="87" t="s">
        <v>35</v>
      </c>
      <c r="C52" s="109"/>
      <c r="D52" s="98">
        <f t="shared" ref="D52:J52" si="12">SUM(D46:D51)</f>
        <v>361607.81818181818</v>
      </c>
      <c r="E52" s="98">
        <f t="shared" si="12"/>
        <v>373579.11818181822</v>
      </c>
      <c r="F52" s="98">
        <f t="shared" si="12"/>
        <v>385662.98318181821</v>
      </c>
      <c r="G52" s="98">
        <f t="shared" si="12"/>
        <v>397850.4614318182</v>
      </c>
      <c r="H52" s="98">
        <f t="shared" si="12"/>
        <v>410131.7161943182</v>
      </c>
      <c r="I52" s="98">
        <f t="shared" si="12"/>
        <v>422495.968372943</v>
      </c>
      <c r="J52" s="98">
        <f t="shared" si="12"/>
        <v>434931.43587883946</v>
      </c>
      <c r="K52" s="103"/>
    </row>
    <row r="53" spans="1:11" ht="12" customHeight="1" outlineLevel="2">
      <c r="A53" s="369"/>
      <c r="B53" s="87" t="s">
        <v>36</v>
      </c>
      <c r="C53" s="109"/>
      <c r="D53" s="118">
        <f>IF(D52&lt;0,D52,0)</f>
        <v>0</v>
      </c>
      <c r="E53" s="118">
        <f t="shared" ref="E53:J53" si="13">IF(E52&lt;0,E52+D53-D54,D53-D54)</f>
        <v>0</v>
      </c>
      <c r="F53" s="118">
        <f t="shared" si="13"/>
        <v>0</v>
      </c>
      <c r="G53" s="118">
        <f t="shared" si="13"/>
        <v>0</v>
      </c>
      <c r="H53" s="118">
        <f t="shared" si="13"/>
        <v>0</v>
      </c>
      <c r="I53" s="118">
        <f t="shared" si="13"/>
        <v>0</v>
      </c>
      <c r="J53" s="118">
        <f t="shared" si="13"/>
        <v>0</v>
      </c>
      <c r="K53" s="103"/>
    </row>
    <row r="54" spans="1:11" ht="12" customHeight="1" outlineLevel="2">
      <c r="A54" s="369"/>
      <c r="B54" s="87" t="s">
        <v>104</v>
      </c>
      <c r="C54" s="109"/>
      <c r="D54" s="119">
        <v>0</v>
      </c>
      <c r="E54" s="119">
        <f t="shared" ref="E54:J54" si="14">IF(E52&lt;0,0,IF(-E53&lt;E52,E53,-E52))</f>
        <v>0</v>
      </c>
      <c r="F54" s="119">
        <f t="shared" si="14"/>
        <v>0</v>
      </c>
      <c r="G54" s="119">
        <f t="shared" si="14"/>
        <v>0</v>
      </c>
      <c r="H54" s="119">
        <f t="shared" si="14"/>
        <v>0</v>
      </c>
      <c r="I54" s="119">
        <f t="shared" si="14"/>
        <v>0</v>
      </c>
      <c r="J54" s="119">
        <f t="shared" si="14"/>
        <v>0</v>
      </c>
      <c r="K54" s="103"/>
    </row>
    <row r="55" spans="1:11" ht="12" customHeight="1" outlineLevel="2">
      <c r="A55" s="369"/>
      <c r="B55" s="106"/>
      <c r="C55" s="157"/>
      <c r="D55" s="98"/>
      <c r="E55" s="98"/>
      <c r="F55" s="98"/>
      <c r="G55" s="98"/>
      <c r="H55" s="98"/>
      <c r="I55" s="98"/>
      <c r="J55" s="98"/>
      <c r="K55" s="103"/>
    </row>
    <row r="56" spans="1:11" outlineLevel="1">
      <c r="A56" s="369"/>
      <c r="B56" s="87" t="s">
        <v>37</v>
      </c>
      <c r="C56" s="109"/>
      <c r="D56" s="98">
        <f t="shared" ref="D56:J56" si="15">D52+D54</f>
        <v>361607.81818181818</v>
      </c>
      <c r="E56" s="98">
        <f t="shared" si="15"/>
        <v>373579.11818181822</v>
      </c>
      <c r="F56" s="98">
        <f t="shared" si="15"/>
        <v>385662.98318181821</v>
      </c>
      <c r="G56" s="98">
        <f t="shared" si="15"/>
        <v>397850.4614318182</v>
      </c>
      <c r="H56" s="98">
        <f t="shared" si="15"/>
        <v>410131.7161943182</v>
      </c>
      <c r="I56" s="98">
        <f t="shared" si="15"/>
        <v>422495.968372943</v>
      </c>
      <c r="J56" s="98">
        <f t="shared" si="15"/>
        <v>434931.43587883946</v>
      </c>
      <c r="K56" s="103"/>
    </row>
    <row r="57" spans="1:11" outlineLevel="1">
      <c r="A57" s="369"/>
      <c r="B57" s="108" t="s">
        <v>108</v>
      </c>
      <c r="C57" s="158"/>
      <c r="D57" s="120">
        <f t="shared" ref="D57:J57" si="16">IF(D56&lt;0,0,(-$J$4*D56))</f>
        <v>-75937.641818181815</v>
      </c>
      <c r="E57" s="120">
        <f t="shared" si="16"/>
        <v>-78451.614818181828</v>
      </c>
      <c r="F57" s="120">
        <f t="shared" si="16"/>
        <v>-80989.22646818182</v>
      </c>
      <c r="G57" s="120">
        <f t="shared" si="16"/>
        <v>-83548.59690068182</v>
      </c>
      <c r="H57" s="120">
        <f t="shared" si="16"/>
        <v>-86127.660400806824</v>
      </c>
      <c r="I57" s="120">
        <f t="shared" si="16"/>
        <v>-88724.153358318028</v>
      </c>
      <c r="J57" s="120">
        <f t="shared" si="16"/>
        <v>-91335.601534556277</v>
      </c>
      <c r="K57" s="103"/>
    </row>
    <row r="58" spans="1:11" s="111" customFormat="1" ht="20.25" customHeight="1" thickBot="1">
      <c r="A58" s="369"/>
      <c r="B58" s="88" t="s">
        <v>107</v>
      </c>
      <c r="C58" s="159"/>
      <c r="D58" s="115">
        <f t="shared" ref="D58:J58" si="17">D46+D57</f>
        <v>442488.35818181816</v>
      </c>
      <c r="E58" s="115">
        <f t="shared" si="17"/>
        <v>450595.6851818182</v>
      </c>
      <c r="F58" s="115">
        <f t="shared" si="17"/>
        <v>458751.43853181822</v>
      </c>
      <c r="G58" s="115">
        <f t="shared" si="17"/>
        <v>466947.33134931815</v>
      </c>
      <c r="H58" s="115">
        <f t="shared" si="17"/>
        <v>475174.34116169321</v>
      </c>
      <c r="I58" s="115">
        <f t="shared" si="17"/>
        <v>483422.66348930681</v>
      </c>
      <c r="J58" s="115">
        <f t="shared" si="17"/>
        <v>491681.66281866003</v>
      </c>
      <c r="K58" s="110"/>
    </row>
    <row r="59" spans="1:11" ht="12.5" thickTop="1"/>
    <row r="60" spans="1:11">
      <c r="C60" s="156"/>
    </row>
    <row r="61" spans="1:11" ht="12.5" thickBot="1">
      <c r="B61" s="156" t="s">
        <v>155</v>
      </c>
    </row>
    <row r="62" spans="1:11" ht="15" customHeight="1" thickTop="1" thickBot="1">
      <c r="B62" s="363" t="s">
        <v>140</v>
      </c>
      <c r="C62" s="364"/>
      <c r="D62" s="364"/>
      <c r="E62" s="364"/>
      <c r="F62" s="364"/>
      <c r="G62" s="364"/>
      <c r="H62" s="364"/>
      <c r="I62" s="364"/>
      <c r="J62" s="364"/>
      <c r="K62" s="365"/>
    </row>
    <row r="63" spans="1:11" ht="12.5" thickTop="1">
      <c r="B63" s="100"/>
      <c r="C63" s="75"/>
      <c r="D63" s="75"/>
      <c r="E63" s="75"/>
      <c r="F63" s="75"/>
      <c r="G63" s="75"/>
      <c r="H63" s="75"/>
      <c r="I63" s="75"/>
      <c r="J63" s="75"/>
      <c r="K63" s="101"/>
    </row>
    <row r="64" spans="1:11">
      <c r="B64" s="102"/>
      <c r="C64" s="160" t="s">
        <v>67</v>
      </c>
      <c r="D64" s="97">
        <v>1</v>
      </c>
      <c r="E64" s="97">
        <v>2</v>
      </c>
      <c r="F64" s="97">
        <v>3</v>
      </c>
      <c r="G64" s="97">
        <v>4</v>
      </c>
      <c r="H64" s="97">
        <v>5</v>
      </c>
      <c r="I64" s="97">
        <v>6</v>
      </c>
      <c r="J64" s="97">
        <v>7</v>
      </c>
      <c r="K64" s="112">
        <v>8</v>
      </c>
    </row>
    <row r="65" spans="2:11">
      <c r="B65" s="102"/>
      <c r="C65" s="96"/>
      <c r="D65" s="97"/>
      <c r="E65" s="97"/>
      <c r="F65" s="97"/>
      <c r="G65" s="97"/>
      <c r="H65" s="97"/>
      <c r="I65" s="97"/>
      <c r="J65" s="97"/>
      <c r="K65" s="113"/>
    </row>
    <row r="66" spans="2:11">
      <c r="B66" s="162" t="s">
        <v>20</v>
      </c>
      <c r="C66" s="98">
        <f>-F5</f>
        <v>-1700000</v>
      </c>
      <c r="D66" s="98"/>
      <c r="E66" s="98"/>
      <c r="F66" s="98"/>
      <c r="G66" s="98"/>
      <c r="H66" s="98"/>
      <c r="I66" s="98"/>
      <c r="J66" s="98"/>
      <c r="K66" s="89"/>
    </row>
    <row r="67" spans="2:11">
      <c r="B67" s="162" t="s">
        <v>107</v>
      </c>
      <c r="C67" s="98"/>
      <c r="D67" s="98">
        <f>D58</f>
        <v>442488.35818181816</v>
      </c>
      <c r="E67" s="98">
        <f t="shared" ref="E67:J67" si="18">E58</f>
        <v>450595.6851818182</v>
      </c>
      <c r="F67" s="98">
        <f t="shared" si="18"/>
        <v>458751.43853181822</v>
      </c>
      <c r="G67" s="98">
        <f t="shared" si="18"/>
        <v>466947.33134931815</v>
      </c>
      <c r="H67" s="98">
        <f t="shared" si="18"/>
        <v>475174.34116169321</v>
      </c>
      <c r="I67" s="98">
        <f t="shared" si="18"/>
        <v>483422.66348930681</v>
      </c>
      <c r="J67" s="98">
        <f t="shared" si="18"/>
        <v>491681.66281866003</v>
      </c>
      <c r="K67" s="89"/>
    </row>
    <row r="68" spans="2:11">
      <c r="B68" s="162" t="s">
        <v>115</v>
      </c>
      <c r="C68" s="99"/>
      <c r="D68" s="99"/>
      <c r="E68" s="99"/>
      <c r="F68" s="99"/>
      <c r="G68" s="99"/>
      <c r="H68" s="99"/>
      <c r="I68" s="99"/>
      <c r="J68" s="99">
        <f>'Fig PIII.3 and PIII.11 left'!E53</f>
        <v>6887514.4659451302</v>
      </c>
      <c r="K68" s="89"/>
    </row>
    <row r="69" spans="2:11">
      <c r="B69" s="162" t="s">
        <v>173</v>
      </c>
      <c r="C69" s="161">
        <f>SUM(C66:C68)</f>
        <v>-1700000</v>
      </c>
      <c r="D69" s="161">
        <f t="shared" ref="D69:J69" si="19">SUM(D66:D68)</f>
        <v>442488.35818181816</v>
      </c>
      <c r="E69" s="161">
        <f t="shared" si="19"/>
        <v>450595.6851818182</v>
      </c>
      <c r="F69" s="161">
        <f t="shared" si="19"/>
        <v>458751.43853181822</v>
      </c>
      <c r="G69" s="161">
        <f t="shared" si="19"/>
        <v>466947.33134931815</v>
      </c>
      <c r="H69" s="161">
        <f t="shared" si="19"/>
        <v>475174.34116169321</v>
      </c>
      <c r="I69" s="161">
        <f t="shared" si="19"/>
        <v>483422.66348930681</v>
      </c>
      <c r="J69" s="161">
        <f t="shared" si="19"/>
        <v>7379196.1287637902</v>
      </c>
      <c r="K69" s="89"/>
    </row>
    <row r="70" spans="2:11">
      <c r="B70" s="162"/>
      <c r="C70" s="163"/>
      <c r="D70" s="163"/>
      <c r="E70" s="163"/>
      <c r="F70" s="163"/>
      <c r="G70" s="163"/>
      <c r="H70" s="163"/>
      <c r="I70" s="163"/>
      <c r="J70" s="163"/>
      <c r="K70" s="89"/>
    </row>
    <row r="71" spans="2:11">
      <c r="B71" s="162" t="s">
        <v>116</v>
      </c>
      <c r="C71" s="348"/>
      <c r="D71" s="163"/>
      <c r="E71" s="163"/>
      <c r="F71" s="163"/>
      <c r="G71" s="163"/>
      <c r="H71" s="163"/>
      <c r="I71" s="163"/>
      <c r="J71" s="163"/>
      <c r="K71" s="89"/>
    </row>
    <row r="72" spans="2:11">
      <c r="B72" s="164">
        <f>J10</f>
        <v>0.1</v>
      </c>
      <c r="C72" s="348"/>
      <c r="D72" s="163"/>
      <c r="E72" s="163"/>
      <c r="F72" s="163"/>
      <c r="G72" s="163"/>
      <c r="H72" s="163"/>
      <c r="I72" s="163"/>
      <c r="J72" s="163"/>
      <c r="K72" s="89"/>
    </row>
    <row r="73" spans="2:11" ht="20.25" customHeight="1" thickBot="1">
      <c r="B73" s="166" t="s">
        <v>42</v>
      </c>
      <c r="C73" s="349"/>
      <c r="D73" s="165"/>
      <c r="E73" s="165"/>
      <c r="F73" s="165"/>
      <c r="G73" s="165"/>
      <c r="H73" s="165"/>
      <c r="I73" s="165"/>
      <c r="J73" s="165"/>
      <c r="K73" s="90"/>
    </row>
    <row r="74" spans="2:11" ht="12.5" thickTop="1"/>
    <row r="78" spans="2:11" ht="11.75" customHeight="1">
      <c r="B78" s="367" t="s">
        <v>178</v>
      </c>
      <c r="C78" s="367"/>
      <c r="D78" s="367"/>
      <c r="E78" s="367"/>
      <c r="F78" s="367"/>
      <c r="G78" s="367"/>
    </row>
    <row r="79" spans="2:11">
      <c r="B79" s="367"/>
      <c r="C79" s="367"/>
      <c r="D79" s="367"/>
      <c r="E79" s="367"/>
      <c r="F79" s="367"/>
      <c r="G79" s="367"/>
    </row>
    <row r="80" spans="2:11">
      <c r="B80" s="367"/>
      <c r="C80" s="367"/>
      <c r="D80" s="367"/>
      <c r="E80" s="367"/>
      <c r="F80" s="367"/>
      <c r="G80" s="367"/>
    </row>
    <row r="81" spans="2:7">
      <c r="B81" s="367"/>
      <c r="C81" s="367"/>
      <c r="D81" s="367"/>
      <c r="E81" s="367"/>
      <c r="F81" s="367"/>
      <c r="G81" s="367"/>
    </row>
  </sheetData>
  <mergeCells count="6">
    <mergeCell ref="B78:G81"/>
    <mergeCell ref="D23:K23"/>
    <mergeCell ref="B39:K39"/>
    <mergeCell ref="B62:K62"/>
    <mergeCell ref="A43:A58"/>
    <mergeCell ref="B37:K37"/>
  </mergeCells>
  <phoneticPr fontId="2" type="noConversion"/>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81"/>
  <sheetViews>
    <sheetView topLeftCell="A11" zoomScaleNormal="100" workbookViewId="0">
      <selection activeCell="A42" sqref="A42"/>
    </sheetView>
  </sheetViews>
  <sheetFormatPr defaultColWidth="9" defaultRowHeight="12" outlineLevelRow="2"/>
  <cols>
    <col min="1" max="1" width="2.6328125" style="3" customWidth="1"/>
    <col min="2" max="2" width="23.08984375" style="3" customWidth="1"/>
    <col min="3" max="3" width="10.7265625" style="3" customWidth="1"/>
    <col min="4" max="4" width="15.7265625" style="3" customWidth="1"/>
    <col min="5" max="5" width="9.08984375" style="3" customWidth="1"/>
    <col min="6" max="6" width="1.6328125" style="3" customWidth="1"/>
    <col min="7" max="16384" width="9" style="3"/>
  </cols>
  <sheetData>
    <row r="1" spans="2:10">
      <c r="D1" s="25" t="s">
        <v>85</v>
      </c>
    </row>
    <row r="2" spans="2:10">
      <c r="B2" s="92" t="s">
        <v>79</v>
      </c>
      <c r="E2" s="23"/>
    </row>
    <row r="3" spans="2:10">
      <c r="B3" s="67" t="str">
        <f>'Fig PIII.1'!B3</f>
        <v>Acquisition Cost</v>
      </c>
      <c r="C3" s="67"/>
      <c r="D3" s="67"/>
      <c r="E3" s="93">
        <f>'Fig PIII.1'!D3</f>
        <v>6700000</v>
      </c>
      <c r="F3" s="67"/>
      <c r="G3" s="67" t="str">
        <f>'Fig PIII.1'!F3</f>
        <v>Capital Gains Tax Rate</v>
      </c>
      <c r="H3" s="67"/>
      <c r="I3" s="67"/>
      <c r="J3" s="94">
        <f>'Fig PIII.1'!I3</f>
        <v>0.15</v>
      </c>
    </row>
    <row r="4" spans="2:10">
      <c r="B4" s="67" t="str">
        <f>'Fig PIII.1'!B4</f>
        <v>First Mortgage Loan Amount</v>
      </c>
      <c r="C4" s="67"/>
      <c r="D4" s="67"/>
      <c r="E4" s="93">
        <f>'Fig PIII.1'!D4</f>
        <v>5000000</v>
      </c>
      <c r="F4" s="67"/>
      <c r="G4" s="67" t="str">
        <f>'Fig PIII.1'!F4</f>
        <v>Ordinary Income Tax Rate</v>
      </c>
      <c r="H4" s="67"/>
      <c r="I4" s="67"/>
      <c r="J4" s="94">
        <f>'Fig PIII.1'!I4</f>
        <v>0.21</v>
      </c>
    </row>
    <row r="5" spans="2:10">
      <c r="B5" s="67" t="str">
        <f>'Fig PIII.1'!B5</f>
        <v>Equity Investment</v>
      </c>
      <c r="C5" s="67"/>
      <c r="D5" s="67"/>
      <c r="E5" s="93">
        <f>'Fig PIII.1'!D5</f>
        <v>1700000</v>
      </c>
      <c r="F5" s="67"/>
      <c r="G5" s="67" t="str">
        <f>'Fig PIII.1'!F5</f>
        <v>Tax Rate on Accumulated Depreciation</v>
      </c>
      <c r="H5" s="67"/>
      <c r="I5" s="67"/>
      <c r="J5" s="94">
        <f>'Fig PIII.1'!I5</f>
        <v>0.25</v>
      </c>
    </row>
    <row r="6" spans="2:10">
      <c r="B6" s="67"/>
      <c r="C6" s="67"/>
      <c r="D6" s="67"/>
      <c r="E6" s="67"/>
      <c r="F6" s="67"/>
      <c r="G6" s="67" t="str">
        <f>'Fig PIII.1'!F6</f>
        <v>Implied Land Value</v>
      </c>
      <c r="H6" s="67"/>
      <c r="I6" s="67"/>
      <c r="J6" s="93">
        <f>'Fig PIII.1'!I6</f>
        <v>1150000</v>
      </c>
    </row>
    <row r="7" spans="2:10">
      <c r="B7" s="67" t="str">
        <f>'Fig PIII.1'!B7</f>
        <v>First Mortgage Interest Rate (%)</v>
      </c>
      <c r="C7" s="67"/>
      <c r="D7" s="67"/>
      <c r="E7" s="94">
        <f>'Fig PIII.1'!D7</f>
        <v>0.05</v>
      </c>
      <c r="F7" s="67"/>
      <c r="G7" s="67" t="str">
        <f>'Fig PIII.1'!F7</f>
        <v>Depreciable Basis</v>
      </c>
      <c r="H7" s="67"/>
      <c r="I7" s="67"/>
      <c r="J7" s="93">
        <f>'Fig PIII.1'!I7</f>
        <v>5550000</v>
      </c>
    </row>
    <row r="8" spans="2:10">
      <c r="B8" s="67" t="str">
        <f>'Fig PIII.1'!B8</f>
        <v>Amortization Term (Years)</v>
      </c>
      <c r="C8" s="67"/>
      <c r="D8" s="67"/>
      <c r="E8" s="95">
        <f>'Fig PIII.1'!D8</f>
        <v>10000</v>
      </c>
      <c r="F8" s="67"/>
      <c r="G8" s="67" t="str">
        <f>'Fig PIII.1'!F8</f>
        <v>Depreciable Life (in Years)</v>
      </c>
      <c r="H8" s="67"/>
      <c r="I8" s="67"/>
      <c r="J8" s="67">
        <f>'Fig PIII.1'!I8</f>
        <v>27.5</v>
      </c>
    </row>
    <row r="9" spans="2:10">
      <c r="B9" s="67" t="str">
        <f>'Fig PIII.1'!B9</f>
        <v>First Mortgage Annual Debt Payment (annual payments)</v>
      </c>
      <c r="C9" s="67"/>
      <c r="D9" s="67"/>
      <c r="E9" s="93">
        <f>'Fig PIII.1'!D9</f>
        <v>250000</v>
      </c>
      <c r="F9" s="67"/>
      <c r="G9" s="67"/>
      <c r="H9" s="67"/>
      <c r="I9" s="67"/>
      <c r="J9" s="67"/>
    </row>
    <row r="10" spans="2:10">
      <c r="B10" s="67" t="str">
        <f>'Fig PIII.1'!B10</f>
        <v>Loan Points</v>
      </c>
      <c r="C10" s="67"/>
      <c r="D10" s="67"/>
      <c r="E10" s="94">
        <f>'Fig PIII.1'!D10</f>
        <v>0</v>
      </c>
      <c r="F10" s="67"/>
      <c r="G10" s="67" t="str">
        <f>'Fig PIII.1'!F10</f>
        <v>Discount Rate</v>
      </c>
      <c r="H10" s="67"/>
      <c r="I10" s="67"/>
      <c r="J10" s="94">
        <f>'Fig PIII.1'!I10</f>
        <v>0.1</v>
      </c>
    </row>
    <row r="11" spans="2:10">
      <c r="B11" s="67" t="str">
        <f>'Fig PIII.1'!B11</f>
        <v>Years of Loan Points Amortization</v>
      </c>
      <c r="C11" s="67"/>
      <c r="D11" s="67"/>
      <c r="E11" s="95">
        <f>'Fig PIII.1'!D11</f>
        <v>7</v>
      </c>
      <c r="F11" s="67"/>
      <c r="G11" s="67"/>
      <c r="H11" s="67"/>
      <c r="I11" s="67"/>
      <c r="J11" s="67"/>
    </row>
    <row r="12" spans="2:10">
      <c r="B12" s="67"/>
      <c r="C12" s="67"/>
      <c r="D12" s="67"/>
      <c r="E12" s="67"/>
      <c r="F12" s="67"/>
      <c r="G12" s="67"/>
      <c r="H12" s="67"/>
      <c r="I12" s="67"/>
      <c r="J12" s="67"/>
    </row>
    <row r="13" spans="2:10">
      <c r="B13" s="67" t="str">
        <f>'Fig PIII.1'!B13</f>
        <v>1st Year Base Rent Revenues</v>
      </c>
      <c r="C13" s="67"/>
      <c r="D13" s="67"/>
      <c r="E13" s="93">
        <f>'Fig PIII.1'!D13</f>
        <v>1000000</v>
      </c>
      <c r="F13" s="67"/>
      <c r="G13" s="67"/>
      <c r="H13" s="67"/>
      <c r="I13" s="67"/>
      <c r="J13" s="67"/>
    </row>
    <row r="14" spans="2:10">
      <c r="B14" s="67" t="str">
        <f>'Fig PIII.1'!B14</f>
        <v>Base Rent Annual Increase</v>
      </c>
      <c r="C14" s="67"/>
      <c r="D14" s="67"/>
      <c r="E14" s="94">
        <f>'Fig PIII.1'!D14</f>
        <v>0.03</v>
      </c>
      <c r="F14" s="67"/>
      <c r="G14" s="67"/>
      <c r="H14" s="67"/>
      <c r="I14" s="67"/>
      <c r="J14" s="67"/>
    </row>
    <row r="15" spans="2:10">
      <c r="B15" s="67" t="str">
        <f>'Fig PIII.1'!B15</f>
        <v>Projected Vacancy</v>
      </c>
      <c r="C15" s="67"/>
      <c r="D15" s="67"/>
      <c r="E15" s="94">
        <f>'Fig PIII.1'!D15</f>
        <v>0.05</v>
      </c>
      <c r="F15" s="67"/>
      <c r="G15" s="67"/>
      <c r="H15" s="67"/>
      <c r="I15" s="67"/>
      <c r="J15" s="67"/>
    </row>
    <row r="16" spans="2:10">
      <c r="B16" s="67" t="str">
        <f>'Fig PIII.1'!B16</f>
        <v>Annual Operating Expense Increase</v>
      </c>
      <c r="C16" s="67"/>
      <c r="D16" s="67"/>
      <c r="E16" s="94">
        <f>'Fig PIII.1'!D16</f>
        <v>0.05</v>
      </c>
      <c r="F16" s="67"/>
      <c r="G16" s="67"/>
      <c r="H16" s="67"/>
      <c r="I16" s="67"/>
      <c r="J16" s="67"/>
    </row>
    <row r="17" spans="2:10">
      <c r="B17" s="67" t="str">
        <f>'Fig PIII.1'!B17</f>
        <v>First Year RE Taxes as % of gross rent roll</v>
      </c>
      <c r="C17" s="67"/>
      <c r="D17" s="67"/>
      <c r="E17" s="94">
        <f>'Fig PIII.1'!D17</f>
        <v>0.14000000000000001</v>
      </c>
      <c r="F17" s="67"/>
      <c r="G17" s="67"/>
      <c r="H17" s="67"/>
      <c r="I17" s="67"/>
      <c r="J17" s="67"/>
    </row>
    <row r="18" spans="2:10">
      <c r="B18" s="67" t="str">
        <f>'Fig PIII.1'!B18</f>
        <v>Annual Real Estate Tax Increase</v>
      </c>
      <c r="C18" s="67"/>
      <c r="D18" s="67"/>
      <c r="E18" s="94">
        <f>'Fig PIII.1'!D18</f>
        <v>0.03</v>
      </c>
      <c r="F18" s="67"/>
      <c r="G18" s="67"/>
      <c r="H18" s="67"/>
      <c r="I18" s="67"/>
      <c r="J18" s="67"/>
    </row>
    <row r="19" spans="2:10">
      <c r="B19" s="67" t="str">
        <f>'Fig PIII.1'!B19</f>
        <v>Replacement Reserve</v>
      </c>
      <c r="C19" s="67"/>
      <c r="D19" s="67"/>
      <c r="E19" s="94">
        <f>'Fig PIII.1'!D19</f>
        <v>4.4999999999999998E-2</v>
      </c>
      <c r="F19" s="67"/>
      <c r="G19" s="67"/>
      <c r="H19" s="67"/>
      <c r="I19" s="67"/>
      <c r="J19" s="67"/>
    </row>
    <row r="20" spans="2:10">
      <c r="B20" s="67" t="str">
        <f>'Fig PIII.1'!B20</f>
        <v>Going-Out Capitalization Rate</v>
      </c>
      <c r="C20" s="67"/>
      <c r="D20" s="67"/>
      <c r="E20" s="94">
        <f>'Fig PIII.1'!D20</f>
        <v>0.08</v>
      </c>
      <c r="F20" s="67"/>
      <c r="G20" s="67"/>
      <c r="H20" s="67"/>
      <c r="I20" s="67"/>
      <c r="J20" s="67"/>
    </row>
    <row r="21" spans="2:10">
      <c r="B21" s="67" t="str">
        <f>'Fig PIII.1'!B21</f>
        <v>Selling Costs</v>
      </c>
      <c r="C21" s="67"/>
      <c r="D21" s="67"/>
      <c r="E21" s="94">
        <f>'Fig PIII.1'!D21</f>
        <v>0.02</v>
      </c>
      <c r="F21" s="67"/>
      <c r="G21" s="67"/>
      <c r="H21" s="67"/>
      <c r="I21" s="67"/>
      <c r="J21" s="67"/>
    </row>
    <row r="23" spans="2:10" s="67" customFormat="1" outlineLevel="1">
      <c r="B23" s="139"/>
      <c r="C23" s="140">
        <f>'Fig PIII.2, .4 &amp; .10 bottom'!D41</f>
        <v>1</v>
      </c>
      <c r="D23" s="140">
        <f>'Fig PIII.2, .4 &amp; .10 bottom'!E41</f>
        <v>2</v>
      </c>
      <c r="E23" s="140">
        <f>'Fig PIII.2, .4 &amp; .10 bottom'!F41</f>
        <v>3</v>
      </c>
      <c r="F23" s="140">
        <f>'Fig PIII.2, .4 &amp; .10 bottom'!G41</f>
        <v>4</v>
      </c>
      <c r="G23" s="140">
        <f>'Fig PIII.2, .4 &amp; .10 bottom'!H41</f>
        <v>5</v>
      </c>
      <c r="H23" s="140">
        <f>'Fig PIII.2, .4 &amp; .10 bottom'!I41</f>
        <v>6</v>
      </c>
      <c r="I23" s="140">
        <f>'Fig PIII.2, .4 &amp; .10 bottom'!J41</f>
        <v>7</v>
      </c>
      <c r="J23" s="140">
        <f>'Fig PIII.2, .4 &amp; .10 bottom'!K41</f>
        <v>8</v>
      </c>
    </row>
    <row r="24" spans="2:10" s="67" customFormat="1" outlineLevel="1">
      <c r="B24" s="139"/>
      <c r="C24" s="140"/>
      <c r="D24" s="140"/>
      <c r="E24" s="140"/>
      <c r="F24" s="140"/>
      <c r="G24" s="140"/>
      <c r="H24" s="140"/>
      <c r="I24" s="140"/>
    </row>
    <row r="25" spans="2:10" s="67" customFormat="1" outlineLevel="1">
      <c r="B25" s="121" t="str">
        <f>'Fig PIII.2, .4 &amp; .10 bottom'!B43</f>
        <v>Net Operating Income</v>
      </c>
      <c r="C25" s="131">
        <f>'Fig PIII.2, .4 &amp; .10 bottom'!D43</f>
        <v>518426</v>
      </c>
      <c r="D25" s="131">
        <f>'Fig PIII.2, .4 &amp; .10 bottom'!E43</f>
        <v>529047.30000000005</v>
      </c>
      <c r="E25" s="131">
        <f>'Fig PIII.2, .4 &amp; .10 bottom'!F43</f>
        <v>539740.66500000004</v>
      </c>
      <c r="F25" s="131">
        <f>'Fig PIII.2, .4 &amp; .10 bottom'!G43</f>
        <v>550495.92825</v>
      </c>
      <c r="G25" s="131">
        <f>'Fig PIII.2, .4 &amp; .10 bottom'!H43</f>
        <v>561302.00156250002</v>
      </c>
      <c r="H25" s="131">
        <f>'Fig PIII.2, .4 &amp; .10 bottom'!I43</f>
        <v>572146.81684762484</v>
      </c>
      <c r="I25" s="131">
        <f>'Fig PIII.2, .4 &amp; .10 bottom'!J43</f>
        <v>583017.26435321628</v>
      </c>
      <c r="J25" s="131">
        <f>'Fig PIII.2, .4 &amp; .10 bottom'!K43</f>
        <v>593899.12743398338</v>
      </c>
    </row>
    <row r="26" spans="2:10" s="67" customFormat="1" outlineLevel="1">
      <c r="B26" s="121" t="s">
        <v>80</v>
      </c>
      <c r="C26" s="131" t="str">
        <f>'Fig PIII.2, .4 &amp; .10 bottom'!D44</f>
        <v>-</v>
      </c>
      <c r="D26" s="131" t="str">
        <f>'Fig PIII.2, .4 &amp; .10 bottom'!E44</f>
        <v>-</v>
      </c>
      <c r="E26" s="131" t="str">
        <f>'Fig PIII.2, .4 &amp; .10 bottom'!F44</f>
        <v>-</v>
      </c>
      <c r="F26" s="131" t="str">
        <f>'Fig PIII.2, .4 &amp; .10 bottom'!G44</f>
        <v>-</v>
      </c>
      <c r="G26" s="131" t="str">
        <f>'Fig PIII.2, .4 &amp; .10 bottom'!H44</f>
        <v>-</v>
      </c>
      <c r="H26" s="131" t="str">
        <f>'Fig PIII.2, .4 &amp; .10 bottom'!I44</f>
        <v>-</v>
      </c>
      <c r="I26" s="131" t="str">
        <f>'Fig PIII.2, .4 &amp; .10 bottom'!J44</f>
        <v>-</v>
      </c>
      <c r="J26" s="132"/>
    </row>
    <row r="27" spans="2:10" s="67" customFormat="1" outlineLevel="1">
      <c r="B27" s="123" t="str">
        <f>'Fig PIII.2, .4 &amp; .10 bottom'!B45</f>
        <v>First Mortgage Debt Service</v>
      </c>
      <c r="C27" s="138">
        <f>'Fig PIII.2, .4 &amp; .10 bottom'!D45</f>
        <v>0</v>
      </c>
      <c r="D27" s="138">
        <f>'Fig PIII.2, .4 &amp; .10 bottom'!E45</f>
        <v>0</v>
      </c>
      <c r="E27" s="138">
        <f>'Fig PIII.2, .4 &amp; .10 bottom'!F45</f>
        <v>0</v>
      </c>
      <c r="F27" s="138">
        <f>'Fig PIII.2, .4 &amp; .10 bottom'!G45</f>
        <v>0</v>
      </c>
      <c r="G27" s="138">
        <f>'Fig PIII.2, .4 &amp; .10 bottom'!H45</f>
        <v>0</v>
      </c>
      <c r="H27" s="138">
        <f>'Fig PIII.2, .4 &amp; .10 bottom'!I45</f>
        <v>0</v>
      </c>
      <c r="I27" s="138">
        <f>'Fig PIII.2, .4 &amp; .10 bottom'!J45</f>
        <v>0</v>
      </c>
      <c r="J27" s="132"/>
    </row>
    <row r="28" spans="2:10" s="67" customFormat="1" outlineLevel="1">
      <c r="B28" s="121" t="str">
        <f>'Fig PIII.2, .4 &amp; .10 bottom'!B46</f>
        <v>Before-Tax Levered Cash Flow</v>
      </c>
      <c r="C28" s="131">
        <f>'Fig PIII.2, .4 &amp; .10 bottom'!D46</f>
        <v>518426</v>
      </c>
      <c r="D28" s="131">
        <f>'Fig PIII.2, .4 &amp; .10 bottom'!E46</f>
        <v>529047.30000000005</v>
      </c>
      <c r="E28" s="131">
        <f>'Fig PIII.2, .4 &amp; .10 bottom'!F46</f>
        <v>539740.66500000004</v>
      </c>
      <c r="F28" s="131">
        <f>'Fig PIII.2, .4 &amp; .10 bottom'!G46</f>
        <v>550495.92825</v>
      </c>
      <c r="G28" s="131">
        <f>'Fig PIII.2, .4 &amp; .10 bottom'!H46</f>
        <v>561302.00156250002</v>
      </c>
      <c r="H28" s="131">
        <f>'Fig PIII.2, .4 &amp; .10 bottom'!I46</f>
        <v>572146.81684762484</v>
      </c>
      <c r="I28" s="131">
        <f>'Fig PIII.2, .4 &amp; .10 bottom'!J46</f>
        <v>583017.26435321628</v>
      </c>
      <c r="J28" s="132"/>
    </row>
    <row r="29" spans="2:10" s="67" customFormat="1" outlineLevel="1">
      <c r="B29" s="122"/>
      <c r="C29" s="131"/>
      <c r="D29" s="131"/>
      <c r="E29" s="131"/>
      <c r="F29" s="131"/>
      <c r="G29" s="131"/>
      <c r="H29" s="131"/>
      <c r="I29" s="131"/>
      <c r="J29" s="132"/>
    </row>
    <row r="30" spans="2:10" s="67" customFormat="1" outlineLevel="1">
      <c r="B30" s="121" t="str">
        <f>'Fig PIII.2, .4 &amp; .10 bottom'!B48</f>
        <v>Less:  Depreciation</v>
      </c>
      <c r="C30" s="131">
        <f>'Fig PIII.2, .4 &amp; .10 bottom'!D48</f>
        <v>-201818.18181818182</v>
      </c>
      <c r="D30" s="131">
        <f>'Fig PIII.2, .4 &amp; .10 bottom'!E48</f>
        <v>-201818.18181818182</v>
      </c>
      <c r="E30" s="131">
        <f>'Fig PIII.2, .4 &amp; .10 bottom'!F48</f>
        <v>-201818.18181818182</v>
      </c>
      <c r="F30" s="131">
        <f>'Fig PIII.2, .4 &amp; .10 bottom'!G48</f>
        <v>-201818.18181818182</v>
      </c>
      <c r="G30" s="131">
        <f>'Fig PIII.2, .4 &amp; .10 bottom'!H48</f>
        <v>-201818.18181818182</v>
      </c>
      <c r="H30" s="131">
        <f>'Fig PIII.2, .4 &amp; .10 bottom'!I48</f>
        <v>-201818.18181818182</v>
      </c>
      <c r="I30" s="131">
        <f>'Fig PIII.2, .4 &amp; .10 bottom'!J48</f>
        <v>-201818.18181818182</v>
      </c>
      <c r="J30" s="132"/>
    </row>
    <row r="31" spans="2:10" s="67" customFormat="1" outlineLevel="1">
      <c r="B31" s="121" t="str">
        <f>'Fig PIII.2, .4 &amp; .10 bottom'!B49</f>
        <v>Plus:  Cap Ex</v>
      </c>
      <c r="C31" s="131">
        <f>'Fig PIII.2, .4 &amp; .10 bottom'!D49</f>
        <v>45000</v>
      </c>
      <c r="D31" s="131">
        <f>'Fig PIII.2, .4 &amp; .10 bottom'!E49</f>
        <v>46350</v>
      </c>
      <c r="E31" s="131">
        <f>'Fig PIII.2, .4 &amp; .10 bottom'!F49</f>
        <v>47740.5</v>
      </c>
      <c r="F31" s="131">
        <f>'Fig PIII.2, .4 &amp; .10 bottom'!G49</f>
        <v>49172.714999999997</v>
      </c>
      <c r="G31" s="131">
        <f>'Fig PIII.2, .4 &amp; .10 bottom'!H49</f>
        <v>50647.89645</v>
      </c>
      <c r="H31" s="131">
        <f>'Fig PIII.2, .4 &amp; .10 bottom'!I49</f>
        <v>52167.333343499995</v>
      </c>
      <c r="I31" s="131">
        <f>'Fig PIII.2, .4 &amp; .10 bottom'!J49</f>
        <v>53732.353343804993</v>
      </c>
      <c r="J31" s="132"/>
    </row>
    <row r="32" spans="2:10" s="67" customFormat="1" outlineLevel="1">
      <c r="B32" s="121" t="str">
        <f>'Fig PIII.2, .4 &amp; .10 bottom'!B50</f>
        <v>Plus:  Principal Amortization</v>
      </c>
      <c r="C32" s="133" t="str">
        <f>'Fig PIII.2, .4 &amp; .10 bottom'!D50</f>
        <v>-</v>
      </c>
      <c r="D32" s="133" t="str">
        <f>'Fig PIII.2, .4 &amp; .10 bottom'!E50</f>
        <v>-</v>
      </c>
      <c r="E32" s="133" t="str">
        <f>'Fig PIII.2, .4 &amp; .10 bottom'!F50</f>
        <v>-</v>
      </c>
      <c r="F32" s="133" t="str">
        <f>'Fig PIII.2, .4 &amp; .10 bottom'!G50</f>
        <v>-</v>
      </c>
      <c r="G32" s="133" t="str">
        <f>'Fig PIII.2, .4 &amp; .10 bottom'!H50</f>
        <v>-</v>
      </c>
      <c r="H32" s="133" t="str">
        <f>'Fig PIII.2, .4 &amp; .10 bottom'!I50</f>
        <v>-</v>
      </c>
      <c r="I32" s="133" t="str">
        <f>'Fig PIII.2, .4 &amp; .10 bottom'!J50</f>
        <v>-</v>
      </c>
      <c r="J32" s="132"/>
    </row>
    <row r="33" spans="2:10" s="67" customFormat="1" outlineLevel="1">
      <c r="B33" s="121" t="str">
        <f>'Fig PIII.2, .4 &amp; .10 bottom'!B51</f>
        <v>Less:  Points Amortization</v>
      </c>
      <c r="C33" s="133" t="str">
        <f>'Fig PIII.2, .4 &amp; .10 bottom'!D51</f>
        <v>-</v>
      </c>
      <c r="D33" s="133" t="str">
        <f>'Fig PIII.2, .4 &amp; .10 bottom'!E51</f>
        <v>-</v>
      </c>
      <c r="E33" s="133" t="str">
        <f>'Fig PIII.2, .4 &amp; .10 bottom'!F51</f>
        <v>-</v>
      </c>
      <c r="F33" s="133" t="str">
        <f>'Fig PIII.2, .4 &amp; .10 bottom'!G51</f>
        <v>-</v>
      </c>
      <c r="G33" s="133" t="str">
        <f>'Fig PIII.2, .4 &amp; .10 bottom'!H51</f>
        <v>-</v>
      </c>
      <c r="H33" s="133" t="str">
        <f>'Fig PIII.2, .4 &amp; .10 bottom'!I51</f>
        <v>-</v>
      </c>
      <c r="I33" s="133" t="str">
        <f>'Fig PIII.2, .4 &amp; .10 bottom'!J51</f>
        <v>-</v>
      </c>
      <c r="J33" s="132"/>
    </row>
    <row r="34" spans="2:10" s="67" customFormat="1" hidden="1" outlineLevel="2">
      <c r="B34" s="121" t="str">
        <f>'Fig PIII.2, .4 &amp; .10 bottom'!B52</f>
        <v>Taxable Income (Loss)</v>
      </c>
      <c r="C34" s="131">
        <f>'Fig PIII.2, .4 &amp; .10 bottom'!D52</f>
        <v>361607.81818181818</v>
      </c>
      <c r="D34" s="131">
        <f>'Fig PIII.2, .4 &amp; .10 bottom'!E52</f>
        <v>373579.11818181822</v>
      </c>
      <c r="E34" s="131">
        <f>'Fig PIII.2, .4 &amp; .10 bottom'!F52</f>
        <v>385662.98318181821</v>
      </c>
      <c r="F34" s="131">
        <f>'Fig PIII.2, .4 &amp; .10 bottom'!G52</f>
        <v>397850.4614318182</v>
      </c>
      <c r="G34" s="131">
        <f>'Fig PIII.2, .4 &amp; .10 bottom'!H52</f>
        <v>410131.7161943182</v>
      </c>
      <c r="H34" s="131">
        <f>'Fig PIII.2, .4 &amp; .10 bottom'!I52</f>
        <v>422495.968372943</v>
      </c>
      <c r="I34" s="131">
        <f>'Fig PIII.2, .4 &amp; .10 bottom'!J52</f>
        <v>434931.43587883946</v>
      </c>
      <c r="J34" s="132"/>
    </row>
    <row r="35" spans="2:10" s="67" customFormat="1" hidden="1" outlineLevel="2">
      <c r="B35" s="121" t="str">
        <f>'Fig PIII.2, .4 &amp; .10 bottom'!B53</f>
        <v>Application of</v>
      </c>
      <c r="C35" s="134">
        <f>'Fig PIII.2, .4 &amp; .10 bottom'!D53</f>
        <v>0</v>
      </c>
      <c r="D35" s="134">
        <f>'Fig PIII.2, .4 &amp; .10 bottom'!E53</f>
        <v>0</v>
      </c>
      <c r="E35" s="134">
        <f>'Fig PIII.2, .4 &amp; .10 bottom'!F53</f>
        <v>0</v>
      </c>
      <c r="F35" s="134">
        <f>'Fig PIII.2, .4 &amp; .10 bottom'!G53</f>
        <v>0</v>
      </c>
      <c r="G35" s="134">
        <f>'Fig PIII.2, .4 &amp; .10 bottom'!H53</f>
        <v>0</v>
      </c>
      <c r="H35" s="134">
        <f>'Fig PIII.2, .4 &amp; .10 bottom'!I53</f>
        <v>0</v>
      </c>
      <c r="I35" s="134">
        <f>'Fig PIII.2, .4 &amp; .10 bottom'!J53</f>
        <v>0</v>
      </c>
      <c r="J35" s="132"/>
    </row>
    <row r="36" spans="2:10" s="67" customFormat="1" hidden="1" outlineLevel="2">
      <c r="B36" s="121" t="str">
        <f>'Fig PIII.2, .4 &amp; .10 bottom'!B54</f>
        <v>Suspended Losses</v>
      </c>
      <c r="C36" s="135">
        <f>'Fig PIII.2, .4 &amp; .10 bottom'!D54</f>
        <v>0</v>
      </c>
      <c r="D36" s="135">
        <f>'Fig PIII.2, .4 &amp; .10 bottom'!E54</f>
        <v>0</v>
      </c>
      <c r="E36" s="135">
        <f>'Fig PIII.2, .4 &amp; .10 bottom'!F54</f>
        <v>0</v>
      </c>
      <c r="F36" s="135">
        <f>'Fig PIII.2, .4 &amp; .10 bottom'!G54</f>
        <v>0</v>
      </c>
      <c r="G36" s="135">
        <f>'Fig PIII.2, .4 &amp; .10 bottom'!H54</f>
        <v>0</v>
      </c>
      <c r="H36" s="135">
        <f>'Fig PIII.2, .4 &amp; .10 bottom'!I54</f>
        <v>0</v>
      </c>
      <c r="I36" s="135">
        <f>'Fig PIII.2, .4 &amp; .10 bottom'!J54</f>
        <v>0</v>
      </c>
      <c r="J36" s="132"/>
    </row>
    <row r="37" spans="2:10" s="67" customFormat="1" hidden="1" outlineLevel="2">
      <c r="B37" s="122"/>
      <c r="C37" s="131"/>
      <c r="D37" s="131"/>
      <c r="E37" s="131"/>
      <c r="F37" s="131"/>
      <c r="G37" s="131"/>
      <c r="H37" s="131"/>
      <c r="I37" s="131"/>
      <c r="J37" s="132"/>
    </row>
    <row r="38" spans="2:10" s="67" customFormat="1" outlineLevel="1" collapsed="1">
      <c r="B38" s="121" t="str">
        <f>'Fig PIII.2, .4 &amp; .10 bottom'!B56</f>
        <v>Net Taxable Income (Loss)</v>
      </c>
      <c r="C38" s="131">
        <f>'Fig PIII.2, .4 &amp; .10 bottom'!D56</f>
        <v>361607.81818181818</v>
      </c>
      <c r="D38" s="131">
        <f>'Fig PIII.2, .4 &amp; .10 bottom'!E56</f>
        <v>373579.11818181822</v>
      </c>
      <c r="E38" s="131">
        <f>'Fig PIII.2, .4 &amp; .10 bottom'!F56</f>
        <v>385662.98318181821</v>
      </c>
      <c r="F38" s="131">
        <f>'Fig PIII.2, .4 &amp; .10 bottom'!G56</f>
        <v>397850.4614318182</v>
      </c>
      <c r="G38" s="131">
        <f>'Fig PIII.2, .4 &amp; .10 bottom'!H56</f>
        <v>410131.7161943182</v>
      </c>
      <c r="H38" s="131">
        <f>'Fig PIII.2, .4 &amp; .10 bottom'!I56</f>
        <v>422495.968372943</v>
      </c>
      <c r="I38" s="131">
        <f>'Fig PIII.2, .4 &amp; .10 bottom'!J56</f>
        <v>434931.43587883946</v>
      </c>
      <c r="J38" s="132"/>
    </row>
    <row r="39" spans="2:10" s="67" customFormat="1" outlineLevel="1">
      <c r="B39" s="137" t="str">
        <f>'Fig PIII.2, .4 &amp; .10 bottom'!B57</f>
        <v>Less:  Tax Liability</v>
      </c>
      <c r="C39" s="136">
        <f>'Fig PIII.2, .4 &amp; .10 bottom'!D57</f>
        <v>-75937.641818181815</v>
      </c>
      <c r="D39" s="136">
        <f>'Fig PIII.2, .4 &amp; .10 bottom'!E57</f>
        <v>-78451.614818181828</v>
      </c>
      <c r="E39" s="136">
        <f>'Fig PIII.2, .4 &amp; .10 bottom'!F57</f>
        <v>-80989.22646818182</v>
      </c>
      <c r="F39" s="136">
        <f>'Fig PIII.2, .4 &amp; .10 bottom'!G57</f>
        <v>-83548.59690068182</v>
      </c>
      <c r="G39" s="136">
        <f>'Fig PIII.2, .4 &amp; .10 bottom'!H57</f>
        <v>-86127.660400806824</v>
      </c>
      <c r="H39" s="136">
        <f>'Fig PIII.2, .4 &amp; .10 bottom'!I57</f>
        <v>-88724.153358318028</v>
      </c>
      <c r="I39" s="136">
        <f>'Fig PIII.2, .4 &amp; .10 bottom'!J57</f>
        <v>-91335.601534556277</v>
      </c>
      <c r="J39" s="132"/>
    </row>
    <row r="40" spans="2:10" s="67" customFormat="1" outlineLevel="1">
      <c r="B40" s="121" t="str">
        <f>'Fig PIII.2, .4 &amp; .10 bottom'!B58</f>
        <v>After-Tax Cash Flow</v>
      </c>
      <c r="C40" s="131">
        <f>'Fig PIII.2, .4 &amp; .10 bottom'!D58</f>
        <v>442488.35818181816</v>
      </c>
      <c r="D40" s="131">
        <f>'Fig PIII.2, .4 &amp; .10 bottom'!E58</f>
        <v>450595.6851818182</v>
      </c>
      <c r="E40" s="131">
        <f>'Fig PIII.2, .4 &amp; .10 bottom'!F58</f>
        <v>458751.43853181822</v>
      </c>
      <c r="F40" s="131">
        <f>'Fig PIII.2, .4 &amp; .10 bottom'!G58</f>
        <v>466947.33134931815</v>
      </c>
      <c r="G40" s="131">
        <f>'Fig PIII.2, .4 &amp; .10 bottom'!H58</f>
        <v>475174.34116169321</v>
      </c>
      <c r="H40" s="131">
        <f>'Fig PIII.2, .4 &amp; .10 bottom'!I58</f>
        <v>483422.66348930681</v>
      </c>
      <c r="I40" s="131">
        <f>'Fig PIII.2, .4 &amp; .10 bottom'!J58</f>
        <v>491681.66281866003</v>
      </c>
      <c r="J40" s="132"/>
    </row>
    <row r="41" spans="2:10" s="67" customFormat="1" outlineLevel="1"/>
    <row r="42" spans="2:10">
      <c r="B42" s="370" t="s">
        <v>179</v>
      </c>
      <c r="C42" s="370"/>
      <c r="D42" s="370"/>
      <c r="E42" s="370"/>
      <c r="F42" s="370"/>
      <c r="G42" s="370"/>
      <c r="H42" s="370"/>
    </row>
    <row r="43" spans="2:10" ht="12.5" thickBot="1">
      <c r="C43" s="156" t="s">
        <v>174</v>
      </c>
    </row>
    <row r="44" spans="2:10" ht="30" customHeight="1" thickTop="1" thickBot="1">
      <c r="C44" s="363" t="s">
        <v>142</v>
      </c>
      <c r="D44" s="371"/>
      <c r="E44" s="371"/>
      <c r="F44" s="372"/>
    </row>
    <row r="45" spans="2:10" ht="12.5" thickTop="1">
      <c r="C45" s="77"/>
      <c r="D45" s="78"/>
      <c r="E45" s="142"/>
      <c r="F45" s="89"/>
    </row>
    <row r="46" spans="2:10">
      <c r="C46" s="87" t="s">
        <v>39</v>
      </c>
      <c r="D46" s="78"/>
      <c r="E46" s="143">
        <f>E58</f>
        <v>7423739.0929247923</v>
      </c>
      <c r="F46" s="89"/>
      <c r="H46" s="3" t="s">
        <v>38</v>
      </c>
    </row>
    <row r="47" spans="2:10">
      <c r="C47" s="144" t="s">
        <v>113</v>
      </c>
      <c r="D47" s="78"/>
      <c r="E47" s="141">
        <f>E59</f>
        <v>-148474.78185849584</v>
      </c>
      <c r="F47" s="89"/>
    </row>
    <row r="48" spans="2:10">
      <c r="C48" s="87" t="s">
        <v>40</v>
      </c>
      <c r="D48" s="78"/>
      <c r="E48" s="143">
        <f>E46+E47</f>
        <v>7275264.3110662969</v>
      </c>
      <c r="F48" s="89"/>
    </row>
    <row r="49" spans="3:6">
      <c r="C49" s="106"/>
      <c r="D49" s="78"/>
      <c r="E49" s="145"/>
      <c r="F49" s="89"/>
    </row>
    <row r="50" spans="3:6">
      <c r="C50" s="87" t="s">
        <v>172</v>
      </c>
      <c r="D50" s="78"/>
      <c r="E50" s="143">
        <f>-E78</f>
        <v>-387749.84512116702</v>
      </c>
      <c r="F50" s="89"/>
    </row>
    <row r="51" spans="3:6">
      <c r="C51" s="87" t="s">
        <v>114</v>
      </c>
      <c r="D51" s="78"/>
      <c r="E51" s="350"/>
      <c r="F51" s="89"/>
    </row>
    <row r="52" spans="3:6">
      <c r="C52" s="106"/>
      <c r="D52" s="78"/>
      <c r="E52" s="146"/>
      <c r="F52" s="89"/>
    </row>
    <row r="53" spans="3:6" ht="20.25" customHeight="1" thickBot="1">
      <c r="C53" s="88" t="s">
        <v>41</v>
      </c>
      <c r="D53" s="85"/>
      <c r="E53" s="147">
        <f>E48+E50+E51</f>
        <v>6887514.4659451302</v>
      </c>
      <c r="F53" s="90"/>
    </row>
    <row r="54" spans="3:6" ht="12.5" thickTop="1">
      <c r="E54" s="130"/>
    </row>
    <row r="55" spans="3:6">
      <c r="E55" s="130"/>
    </row>
    <row r="56" spans="3:6">
      <c r="C56" s="148" t="s">
        <v>158</v>
      </c>
      <c r="D56" s="149"/>
      <c r="E56" s="150"/>
    </row>
    <row r="57" spans="3:6">
      <c r="C57" s="72"/>
      <c r="D57" s="72"/>
      <c r="E57" s="150"/>
    </row>
    <row r="58" spans="3:6">
      <c r="C58" s="70" t="s">
        <v>39</v>
      </c>
      <c r="D58" s="72"/>
      <c r="E58" s="151">
        <f>J25/E20</f>
        <v>7423739.0929247923</v>
      </c>
    </row>
    <row r="59" spans="3:6">
      <c r="C59" s="70" t="s">
        <v>113</v>
      </c>
      <c r="D59" s="72"/>
      <c r="E59" s="152">
        <f>-E21*E58</f>
        <v>-148474.78185849584</v>
      </c>
    </row>
    <row r="60" spans="3:6">
      <c r="C60" s="70" t="s">
        <v>40</v>
      </c>
      <c r="D60" s="72"/>
      <c r="E60" s="153">
        <f>E58+E59</f>
        <v>7275264.3110662969</v>
      </c>
    </row>
    <row r="62" spans="3:6">
      <c r="C62" s="72" t="s">
        <v>160</v>
      </c>
      <c r="D62" s="72"/>
      <c r="E62" s="154"/>
    </row>
    <row r="63" spans="3:6">
      <c r="C63" s="70" t="s">
        <v>8</v>
      </c>
      <c r="D63" s="72"/>
      <c r="E63" s="153">
        <f>'Fig PIII.1'!D3</f>
        <v>6700000</v>
      </c>
    </row>
    <row r="64" spans="3:6">
      <c r="C64" s="70" t="s">
        <v>164</v>
      </c>
      <c r="E64" s="153">
        <f>SUM(C31:I31)</f>
        <v>344810.79813730501</v>
      </c>
    </row>
    <row r="65" spans="3:5">
      <c r="C65" s="70" t="s">
        <v>162</v>
      </c>
      <c r="D65" s="72"/>
      <c r="E65" s="152">
        <f>SUM(C30:I30)</f>
        <v>-1412727.2727272729</v>
      </c>
    </row>
    <row r="66" spans="3:5">
      <c r="C66" s="70" t="s">
        <v>163</v>
      </c>
      <c r="E66" s="337">
        <f>SUM(E63:E65)</f>
        <v>5632083.5254100319</v>
      </c>
    </row>
    <row r="67" spans="3:5">
      <c r="C67" s="70"/>
      <c r="D67" s="72"/>
      <c r="E67" s="153"/>
    </row>
    <row r="68" spans="3:5">
      <c r="C68" s="72" t="s">
        <v>161</v>
      </c>
      <c r="D68" s="72"/>
      <c r="E68" s="331">
        <f>E60-E66</f>
        <v>1643180.785656265</v>
      </c>
    </row>
    <row r="69" spans="3:5">
      <c r="C69" s="72"/>
      <c r="D69" s="72"/>
      <c r="E69" s="154"/>
    </row>
    <row r="70" spans="3:5">
      <c r="C70" s="72" t="s">
        <v>165</v>
      </c>
    </row>
    <row r="71" spans="3:5">
      <c r="C71" s="72" t="s">
        <v>166</v>
      </c>
      <c r="D71" s="72"/>
      <c r="E71" s="155">
        <f>-E65</f>
        <v>1412727.2727272729</v>
      </c>
    </row>
    <row r="72" spans="3:5">
      <c r="C72" s="72" t="s">
        <v>167</v>
      </c>
      <c r="D72" s="72"/>
      <c r="E72" s="332">
        <f>E68-E71</f>
        <v>230453.51292899204</v>
      </c>
    </row>
    <row r="73" spans="3:5">
      <c r="C73" s="70"/>
      <c r="D73" s="72"/>
      <c r="E73" s="153">
        <f>SUM(E71:E72)</f>
        <v>1643180.785656265</v>
      </c>
    </row>
    <row r="74" spans="3:5">
      <c r="C74" s="70"/>
      <c r="D74" s="72"/>
      <c r="E74" s="331"/>
    </row>
    <row r="75" spans="3:5">
      <c r="C75" s="72" t="s">
        <v>168</v>
      </c>
      <c r="D75" s="72"/>
      <c r="E75" s="155"/>
    </row>
    <row r="76" spans="3:5">
      <c r="C76" s="70" t="s">
        <v>169</v>
      </c>
      <c r="D76" s="72"/>
      <c r="E76" s="153">
        <f>E71*J5</f>
        <v>353181.81818181823</v>
      </c>
    </row>
    <row r="77" spans="3:5">
      <c r="C77" s="72" t="s">
        <v>170</v>
      </c>
      <c r="D77" s="72"/>
      <c r="E77" s="333">
        <f>E72*J3</f>
        <v>34568.026939348805</v>
      </c>
    </row>
    <row r="78" spans="3:5">
      <c r="C78" s="334" t="s">
        <v>171</v>
      </c>
      <c r="D78" s="335"/>
      <c r="E78" s="336">
        <f>SUM(E76:E77)</f>
        <v>387749.84512116702</v>
      </c>
    </row>
    <row r="81" ht="15" customHeight="1"/>
  </sheetData>
  <mergeCells count="2">
    <mergeCell ref="C44:F44"/>
    <mergeCell ref="B42:H42"/>
  </mergeCells>
  <phoneticPr fontId="2"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7"/>
  <sheetViews>
    <sheetView zoomScale="170" zoomScaleNormal="170" workbookViewId="0"/>
  </sheetViews>
  <sheetFormatPr defaultColWidth="9" defaultRowHeight="12"/>
  <cols>
    <col min="1" max="1" width="2.6328125" style="3" customWidth="1"/>
    <col min="2" max="2" width="23.36328125" style="3" bestFit="1" customWidth="1"/>
    <col min="3" max="16384" width="9" style="3"/>
  </cols>
  <sheetData>
    <row r="1" spans="2:4" ht="12.5" thickBot="1"/>
    <row r="2" spans="2:4" ht="13" thickTop="1" thickBot="1">
      <c r="B2" s="167" t="s">
        <v>0</v>
      </c>
    </row>
    <row r="3" spans="2:4" ht="12" customHeight="1" thickTop="1">
      <c r="B3" s="168"/>
    </row>
    <row r="4" spans="2:4" ht="12" customHeight="1">
      <c r="B4" s="169" t="s">
        <v>117</v>
      </c>
    </row>
    <row r="5" spans="2:4" ht="12.5" thickBot="1">
      <c r="B5" s="170"/>
    </row>
    <row r="6" spans="2:4" ht="12.5" thickTop="1">
      <c r="B6" s="31"/>
      <c r="D6" s="29"/>
    </row>
    <row r="7" spans="2:4">
      <c r="B7" s="30"/>
    </row>
  </sheetData>
  <phoneticPr fontId="2"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O40"/>
  <sheetViews>
    <sheetView zoomScaleNormal="100" workbookViewId="0"/>
  </sheetViews>
  <sheetFormatPr defaultColWidth="9.08984375" defaultRowHeight="12"/>
  <cols>
    <col min="1" max="1" width="2.6328125" style="13" customWidth="1"/>
    <col min="2" max="2" width="4.08984375" style="13" customWidth="1"/>
    <col min="3" max="3" width="8.08984375" style="13" customWidth="1"/>
    <col min="4" max="4" width="1.453125" style="13" customWidth="1"/>
    <col min="5" max="14" width="9.08984375" style="13"/>
    <col min="15" max="15" width="1.6328125" style="13" customWidth="1"/>
    <col min="16" max="16384" width="9.08984375" style="13"/>
  </cols>
  <sheetData>
    <row r="2" spans="2:15" ht="15" customHeight="1" thickBot="1">
      <c r="B2" s="377" t="s">
        <v>118</v>
      </c>
      <c r="C2" s="378"/>
      <c r="D2" s="378"/>
      <c r="E2" s="378"/>
      <c r="F2" s="378"/>
      <c r="G2" s="378"/>
      <c r="H2" s="378"/>
      <c r="I2" s="378"/>
      <c r="J2" s="378"/>
      <c r="K2" s="378"/>
      <c r="L2" s="378"/>
      <c r="M2" s="378"/>
      <c r="N2" s="378"/>
      <c r="O2" s="378"/>
    </row>
    <row r="3" spans="2:15" ht="12" customHeight="1" thickTop="1">
      <c r="B3" s="177"/>
      <c r="C3" s="178"/>
      <c r="D3" s="178"/>
      <c r="E3" s="373" t="s">
        <v>119</v>
      </c>
      <c r="F3" s="373"/>
      <c r="G3" s="373"/>
      <c r="H3" s="373"/>
      <c r="I3" s="373"/>
      <c r="J3" s="373"/>
      <c r="K3" s="373"/>
      <c r="L3" s="373"/>
      <c r="M3" s="373"/>
      <c r="N3" s="373"/>
      <c r="O3" s="179"/>
    </row>
    <row r="4" spans="2:15" ht="12" customHeight="1">
      <c r="B4" s="172"/>
      <c r="C4" s="171"/>
      <c r="D4" s="171"/>
      <c r="E4" s="374"/>
      <c r="F4" s="374"/>
      <c r="G4" s="374"/>
      <c r="H4" s="374"/>
      <c r="I4" s="374"/>
      <c r="J4" s="374"/>
      <c r="K4" s="374"/>
      <c r="L4" s="374"/>
      <c r="M4" s="374"/>
      <c r="N4" s="374"/>
      <c r="O4" s="180"/>
    </row>
    <row r="5" spans="2:15">
      <c r="B5" s="172"/>
      <c r="C5" s="173"/>
      <c r="D5" s="173"/>
      <c r="E5" s="173">
        <v>5</v>
      </c>
      <c r="F5" s="173">
        <v>10</v>
      </c>
      <c r="G5" s="173">
        <v>15</v>
      </c>
      <c r="H5" s="173">
        <v>16</v>
      </c>
      <c r="I5" s="173">
        <v>17</v>
      </c>
      <c r="J5" s="173">
        <v>18</v>
      </c>
      <c r="K5" s="173">
        <v>19</v>
      </c>
      <c r="L5" s="173">
        <v>20</v>
      </c>
      <c r="M5" s="173">
        <v>25</v>
      </c>
      <c r="N5" s="173">
        <v>30</v>
      </c>
      <c r="O5" s="180"/>
    </row>
    <row r="6" spans="2:15">
      <c r="B6" s="172"/>
      <c r="C6" s="173"/>
      <c r="D6" s="173"/>
      <c r="E6" s="174"/>
      <c r="F6" s="174"/>
      <c r="G6" s="174"/>
      <c r="H6" s="174"/>
      <c r="I6" s="174"/>
      <c r="J6" s="174"/>
      <c r="K6" s="174"/>
      <c r="L6" s="174"/>
      <c r="M6" s="174"/>
      <c r="N6" s="174"/>
      <c r="O6" s="180"/>
    </row>
    <row r="7" spans="2:15" ht="12" customHeight="1">
      <c r="B7" s="375" t="s">
        <v>120</v>
      </c>
      <c r="C7" s="175">
        <v>0.05</v>
      </c>
      <c r="D7" s="175"/>
      <c r="E7" s="175">
        <f t="shared" ref="E7:E39" si="0">1/(((1/C7)-(1/((C7*(1+C7)^$E$5)))))</f>
        <v>0.23097479812826802</v>
      </c>
      <c r="F7" s="175">
        <f t="shared" ref="F7:F39" si="1">1/(((1/C7)-(1/((C7*(1+C7)^$F$5)))))</f>
        <v>0.12950457496545664</v>
      </c>
      <c r="G7" s="175">
        <f t="shared" ref="G7:G39" si="2">1/(((1/C7)-(1/((C7*(1+C7)^$G$5)))))</f>
        <v>9.6342287609244362E-2</v>
      </c>
      <c r="H7" s="175">
        <f t="shared" ref="H7:H39" si="3">1/(((1/C7)-(1/((C7*(1+C7)^$H$5)))))</f>
        <v>9.2269907977645726E-2</v>
      </c>
      <c r="I7" s="175">
        <f t="shared" ref="I7:I39" si="4">1/(((1/C7)-(1/((C7*(1+C7)^$I$5)))))</f>
        <v>8.8699141731286069E-2</v>
      </c>
      <c r="J7" s="175">
        <f t="shared" ref="J7:J39" si="5">1/(((1/C7)-(1/((C7*(1+C7)^$J$5)))))</f>
        <v>8.5546222319736007E-2</v>
      </c>
      <c r="K7" s="175">
        <f t="shared" ref="K7:K39" si="6">1/(((1/C7)-(1/((C7*(1+C7)^$K$5)))))</f>
        <v>8.2745010381756232E-2</v>
      </c>
      <c r="L7" s="175">
        <f t="shared" ref="L7:L39" si="7">1/(((1/C7)-(1/((C7*(1+C7)^$L$5)))))</f>
        <v>8.02425871906913E-2</v>
      </c>
      <c r="M7" s="175">
        <f t="shared" ref="M7:M39" si="8">1/(((1/C7)-(1/((C7*(1+C7)^$M$5)))))</f>
        <v>7.0952457299229624E-2</v>
      </c>
      <c r="N7" s="175">
        <f t="shared" ref="N7:N39" si="9">1/(((1/C7)-(1/((C7*(1+C7)^$N$5)))))</f>
        <v>6.5051435080276582E-2</v>
      </c>
      <c r="O7" s="180"/>
    </row>
    <row r="8" spans="2:15" ht="12" customHeight="1">
      <c r="B8" s="375"/>
      <c r="C8" s="175">
        <f t="shared" ref="C8:C39" si="10">+C7+0.00125</f>
        <v>5.1250000000000004E-2</v>
      </c>
      <c r="D8" s="175"/>
      <c r="E8" s="175">
        <f t="shared" si="0"/>
        <v>0.23177348118111479</v>
      </c>
      <c r="F8" s="175">
        <f t="shared" si="1"/>
        <v>0.13029188056839713</v>
      </c>
      <c r="G8" s="175">
        <f t="shared" si="2"/>
        <v>9.7158012264877594E-2</v>
      </c>
      <c r="H8" s="175">
        <f t="shared" si="3"/>
        <v>9.3092662361922776E-2</v>
      </c>
      <c r="I8" s="175">
        <f t="shared" si="4"/>
        <v>8.9529154002836647E-2</v>
      </c>
      <c r="J8" s="175">
        <f t="shared" si="5"/>
        <v>8.6383666558808747E-2</v>
      </c>
      <c r="K8" s="175">
        <f t="shared" si="6"/>
        <v>8.35900172888248E-2</v>
      </c>
      <c r="L8" s="175">
        <f t="shared" si="7"/>
        <v>8.1095252145955074E-2</v>
      </c>
      <c r="M8" s="175">
        <f t="shared" si="8"/>
        <v>7.184397179092783E-2</v>
      </c>
      <c r="N8" s="175">
        <f t="shared" si="9"/>
        <v>6.5981279470716123E-2</v>
      </c>
      <c r="O8" s="180"/>
    </row>
    <row r="9" spans="2:15" ht="12" customHeight="1">
      <c r="B9" s="375"/>
      <c r="C9" s="175">
        <f t="shared" si="10"/>
        <v>5.2500000000000005E-2</v>
      </c>
      <c r="D9" s="175"/>
      <c r="E9" s="182">
        <f t="shared" si="0"/>
        <v>0.23257331680465262</v>
      </c>
      <c r="F9" s="182">
        <f t="shared" si="1"/>
        <v>0.13108151935326381</v>
      </c>
      <c r="G9" s="182">
        <f t="shared" si="2"/>
        <v>9.7977148946865877E-2</v>
      </c>
      <c r="H9" s="182">
        <f t="shared" si="3"/>
        <v>9.3919030432906239E-2</v>
      </c>
      <c r="I9" s="182">
        <f t="shared" si="4"/>
        <v>9.0362976400104433E-2</v>
      </c>
      <c r="J9" s="182">
        <f t="shared" si="5"/>
        <v>8.7225111930259405E-2</v>
      </c>
      <c r="K9" s="182">
        <f t="shared" si="6"/>
        <v>8.4439210701828291E-2</v>
      </c>
      <c r="L9" s="182">
        <f t="shared" si="7"/>
        <v>8.195228315855331E-2</v>
      </c>
      <c r="M9" s="182">
        <f t="shared" si="8"/>
        <v>7.2740657083030208E-2</v>
      </c>
      <c r="N9" s="182">
        <f t="shared" si="9"/>
        <v>6.6916933523089611E-2</v>
      </c>
      <c r="O9" s="180"/>
    </row>
    <row r="10" spans="2:15" ht="12" customHeight="1">
      <c r="B10" s="375"/>
      <c r="C10" s="175">
        <f t="shared" si="10"/>
        <v>5.3750000000000006E-2</v>
      </c>
      <c r="D10" s="175"/>
      <c r="E10" s="182">
        <f t="shared" si="0"/>
        <v>0.23337430260442255</v>
      </c>
      <c r="F10" s="182">
        <f t="shared" si="1"/>
        <v>0.13187348438757909</v>
      </c>
      <c r="G10" s="182">
        <f t="shared" si="2"/>
        <v>9.8799682489419102E-2</v>
      </c>
      <c r="H10" s="182">
        <f t="shared" si="3"/>
        <v>9.474899481892407E-2</v>
      </c>
      <c r="I10" s="182">
        <f t="shared" si="4"/>
        <v>9.1200589142313354E-2</v>
      </c>
      <c r="J10" s="182">
        <f t="shared" si="5"/>
        <v>8.8070536036137625E-2</v>
      </c>
      <c r="K10" s="182">
        <f t="shared" si="6"/>
        <v>8.5292565393938549E-2</v>
      </c>
      <c r="L10" s="182">
        <f t="shared" si="7"/>
        <v>8.2813651958667259E-2</v>
      </c>
      <c r="M10" s="182">
        <f t="shared" si="8"/>
        <v>7.3642466479951374E-2</v>
      </c>
      <c r="N10" s="182">
        <f t="shared" si="9"/>
        <v>6.7858327087130577E-2</v>
      </c>
      <c r="O10" s="180"/>
    </row>
    <row r="11" spans="2:15" ht="12" customHeight="1">
      <c r="B11" s="375"/>
      <c r="C11" s="175">
        <f t="shared" si="10"/>
        <v>5.5000000000000007E-2</v>
      </c>
      <c r="D11" s="175"/>
      <c r="E11" s="175">
        <f t="shared" si="0"/>
        <v>0.23417643618579312</v>
      </c>
      <c r="F11" s="175">
        <f t="shared" si="1"/>
        <v>0.13266776870339814</v>
      </c>
      <c r="G11" s="175">
        <f t="shared" si="2"/>
        <v>9.9625597604811239E-2</v>
      </c>
      <c r="H11" s="175">
        <f t="shared" si="3"/>
        <v>9.558253800385702E-2</v>
      </c>
      <c r="I11" s="175">
        <f t="shared" si="4"/>
        <v>9.2041972280608009E-2</v>
      </c>
      <c r="J11" s="175">
        <f t="shared" si="5"/>
        <v>8.8919916286047104E-2</v>
      </c>
      <c r="K11" s="175">
        <f t="shared" si="6"/>
        <v>8.6150055921226015E-2</v>
      </c>
      <c r="L11" s="175">
        <f t="shared" si="7"/>
        <v>8.3679330034933205E-2</v>
      </c>
      <c r="M11" s="175">
        <f t="shared" si="8"/>
        <v>7.4549352946438524E-2</v>
      </c>
      <c r="N11" s="175">
        <f t="shared" si="9"/>
        <v>6.8805389679389595E-2</v>
      </c>
      <c r="O11" s="180"/>
    </row>
    <row r="12" spans="2:15" ht="12" customHeight="1">
      <c r="B12" s="375"/>
      <c r="C12" s="175">
        <f t="shared" si="10"/>
        <v>5.6250000000000008E-2</v>
      </c>
      <c r="D12" s="175"/>
      <c r="E12" s="175">
        <f t="shared" si="0"/>
        <v>0.23497971515400862</v>
      </c>
      <c r="F12" s="175">
        <f t="shared" si="1"/>
        <v>0.13346436529800559</v>
      </c>
      <c r="G12" s="175">
        <f t="shared" si="2"/>
        <v>0.1004548788866492</v>
      </c>
      <c r="H12" s="175">
        <f t="shared" si="3"/>
        <v>9.6419642331334945E-2</v>
      </c>
      <c r="I12" s="175">
        <f t="shared" si="4"/>
        <v>9.2887105703361519E-2</v>
      </c>
      <c r="J12" s="175">
        <f t="shared" si="5"/>
        <v>8.977322990377179E-2</v>
      </c>
      <c r="K12" s="175">
        <f t="shared" si="6"/>
        <v>8.7011656630831269E-2</v>
      </c>
      <c r="L12" s="175">
        <f t="shared" si="7"/>
        <v>8.4549288644407333E-2</v>
      </c>
      <c r="M12" s="175">
        <f t="shared" si="8"/>
        <v>7.5461269130859668E-2</v>
      </c>
      <c r="N12" s="175">
        <f t="shared" si="9"/>
        <v>6.9758050528092419E-2</v>
      </c>
      <c r="O12" s="180"/>
    </row>
    <row r="13" spans="2:15" ht="12" customHeight="1">
      <c r="B13" s="375"/>
      <c r="C13" s="175">
        <f t="shared" si="10"/>
        <v>5.7500000000000009E-2</v>
      </c>
      <c r="D13" s="175"/>
      <c r="E13" s="182">
        <f t="shared" si="0"/>
        <v>0.23578413711422877</v>
      </c>
      <c r="F13" s="182">
        <f t="shared" si="1"/>
        <v>0.13426326713460776</v>
      </c>
      <c r="G13" s="182">
        <f t="shared" si="2"/>
        <v>0.101287510813133</v>
      </c>
      <c r="H13" s="182">
        <f t="shared" si="3"/>
        <v>9.7260290008921099E-2</v>
      </c>
      <c r="I13" s="182">
        <f t="shared" si="4"/>
        <v>9.3735969141467618E-2</v>
      </c>
      <c r="J13" s="182">
        <f t="shared" si="5"/>
        <v>9.0630453933878738E-2</v>
      </c>
      <c r="K13" s="182">
        <f t="shared" si="6"/>
        <v>8.7877341669103368E-2</v>
      </c>
      <c r="L13" s="182">
        <f t="shared" si="7"/>
        <v>8.5423498822483207E-2</v>
      </c>
      <c r="M13" s="182">
        <f t="shared" si="8"/>
        <v>7.637816738826389E-2</v>
      </c>
      <c r="N13" s="182">
        <f t="shared" si="9"/>
        <v>7.0716238617214183E-2</v>
      </c>
      <c r="O13" s="180"/>
    </row>
    <row r="14" spans="2:15" ht="12" customHeight="1">
      <c r="B14" s="375"/>
      <c r="C14" s="175">
        <f t="shared" si="10"/>
        <v>5.8750000000000011E-2</v>
      </c>
      <c r="D14" s="175"/>
      <c r="E14" s="182">
        <f t="shared" si="0"/>
        <v>0.23658969967157933</v>
      </c>
      <c r="F14" s="182">
        <f t="shared" si="1"/>
        <v>0.13506446714302608</v>
      </c>
      <c r="G14" s="182">
        <f t="shared" si="2"/>
        <v>0.10212347775030933</v>
      </c>
      <c r="H14" s="182">
        <f t="shared" si="3"/>
        <v>9.8104463112286391E-2</v>
      </c>
      <c r="I14" s="182">
        <f t="shared" si="4"/>
        <v>9.4588542173616688E-2</v>
      </c>
      <c r="J14" s="182">
        <f t="shared" si="5"/>
        <v>9.1491565248297838E-2</v>
      </c>
      <c r="K14" s="182">
        <f t="shared" si="6"/>
        <v>8.8747084989703628E-2</v>
      </c>
      <c r="L14" s="182">
        <f t="shared" si="7"/>
        <v>8.6301931392759892E-2</v>
      </c>
      <c r="M14" s="182">
        <f t="shared" si="8"/>
        <v>7.7299999803199834E-2</v>
      </c>
      <c r="N14" s="182">
        <f t="shared" si="9"/>
        <v>7.1679882729735744E-2</v>
      </c>
      <c r="O14" s="180"/>
    </row>
    <row r="15" spans="2:15" ht="12" customHeight="1">
      <c r="B15" s="375"/>
      <c r="C15" s="175">
        <f t="shared" si="10"/>
        <v>6.0000000000000012E-2</v>
      </c>
      <c r="D15" s="175"/>
      <c r="E15" s="175">
        <f t="shared" si="0"/>
        <v>0.23739640043118934</v>
      </c>
      <c r="F15" s="175">
        <f t="shared" si="1"/>
        <v>0.13586795822038372</v>
      </c>
      <c r="G15" s="175">
        <f t="shared" si="2"/>
        <v>0.10296276395531265</v>
      </c>
      <c r="H15" s="175">
        <f t="shared" si="3"/>
        <v>9.89521435893672E-2</v>
      </c>
      <c r="I15" s="175">
        <f t="shared" si="4"/>
        <v>9.5444804231549857E-2</v>
      </c>
      <c r="J15" s="175">
        <f t="shared" si="5"/>
        <v>9.2356540552870889E-2</v>
      </c>
      <c r="K15" s="175">
        <f t="shared" si="6"/>
        <v>8.9620860361667609E-2</v>
      </c>
      <c r="L15" s="175">
        <f t="shared" si="7"/>
        <v>8.7184556976851416E-2</v>
      </c>
      <c r="M15" s="175">
        <f t="shared" si="8"/>
        <v>7.8226718212273963E-2</v>
      </c>
      <c r="N15" s="175">
        <f t="shared" si="9"/>
        <v>7.2648911490047208E-2</v>
      </c>
      <c r="O15" s="180"/>
    </row>
    <row r="16" spans="2:15" ht="12" customHeight="1">
      <c r="B16" s="375"/>
      <c r="C16" s="175">
        <f t="shared" si="10"/>
        <v>6.1250000000000013E-2</v>
      </c>
      <c r="D16" s="175"/>
      <c r="E16" s="175">
        <f t="shared" si="0"/>
        <v>0.23820423699823975</v>
      </c>
      <c r="F16" s="175">
        <f t="shared" si="1"/>
        <v>0.1366737332317941</v>
      </c>
      <c r="G16" s="175">
        <f t="shared" si="2"/>
        <v>0.10380535357959858</v>
      </c>
      <c r="H16" s="175">
        <f t="shared" si="3"/>
        <v>9.9803313264511001E-2</v>
      </c>
      <c r="I16" s="175">
        <f t="shared" si="4"/>
        <v>9.6304734605294484E-2</v>
      </c>
      <c r="J16" s="175">
        <f t="shared" si="5"/>
        <v>9.322535639387286E-2</v>
      </c>
      <c r="K16" s="175">
        <f t="shared" si="6"/>
        <v>9.0498641377425762E-2</v>
      </c>
      <c r="L16" s="175">
        <f t="shared" si="7"/>
        <v>8.8071346004137491E-2</v>
      </c>
      <c r="M16" s="175">
        <f t="shared" si="8"/>
        <v>7.9158274226437078E-2</v>
      </c>
      <c r="N16" s="175">
        <f t="shared" si="9"/>
        <v>7.3623253405470823E-2</v>
      </c>
      <c r="O16" s="180"/>
    </row>
    <row r="17" spans="2:15" ht="12" customHeight="1">
      <c r="B17" s="375"/>
      <c r="C17" s="175">
        <f t="shared" si="10"/>
        <v>6.2500000000000014E-2</v>
      </c>
      <c r="D17" s="175"/>
      <c r="E17" s="182">
        <f t="shared" si="0"/>
        <v>0.23901320697800324</v>
      </c>
      <c r="F17" s="182">
        <f t="shared" si="1"/>
        <v>0.13748178501104413</v>
      </c>
      <c r="G17" s="182">
        <f t="shared" si="2"/>
        <v>0.10465123067216386</v>
      </c>
      <c r="H17" s="182">
        <f t="shared" si="3"/>
        <v>0.10065795384260375</v>
      </c>
      <c r="I17" s="182">
        <f t="shared" si="4"/>
        <v>9.7168312448374317E-2</v>
      </c>
      <c r="J17" s="182">
        <f t="shared" si="5"/>
        <v>9.4097989164498047E-2</v>
      </c>
      <c r="K17" s="182">
        <f t="shared" si="6"/>
        <v>9.1380401460775612E-2</v>
      </c>
      <c r="L17" s="182">
        <f t="shared" si="7"/>
        <v>8.8962268721446872E-2</v>
      </c>
      <c r="M17" s="182">
        <f t="shared" si="8"/>
        <v>8.0094619252982738E-2</v>
      </c>
      <c r="N17" s="182">
        <f t="shared" si="9"/>
        <v>7.4602836906873291E-2</v>
      </c>
      <c r="O17" s="180"/>
    </row>
    <row r="18" spans="2:15" ht="12" customHeight="1">
      <c r="B18" s="375"/>
      <c r="C18" s="175">
        <f t="shared" si="10"/>
        <v>6.3750000000000015E-2</v>
      </c>
      <c r="D18" s="175"/>
      <c r="E18" s="182">
        <f t="shared" si="0"/>
        <v>0.23982330797588955</v>
      </c>
      <c r="F18" s="182">
        <f t="shared" si="1"/>
        <v>0.13829210636127648</v>
      </c>
      <c r="G18" s="182">
        <f t="shared" si="2"/>
        <v>0.10550037918275496</v>
      </c>
      <c r="H18" s="182">
        <f t="shared" si="3"/>
        <v>0.10151604691318068</v>
      </c>
      <c r="I18" s="182">
        <f t="shared" si="4"/>
        <v>9.8035516782995491E-2</v>
      </c>
      <c r="J18" s="182">
        <f t="shared" si="5"/>
        <v>9.4974415111311314E-2</v>
      </c>
      <c r="K18" s="182">
        <f t="shared" si="6"/>
        <v>9.2266113874804212E-2</v>
      </c>
      <c r="L18" s="182">
        <f t="shared" si="7"/>
        <v>8.9857295202671411E-2</v>
      </c>
      <c r="M18" s="182">
        <f t="shared" si="8"/>
        <v>8.1035704517245344E-2</v>
      </c>
      <c r="N18" s="182">
        <f t="shared" si="9"/>
        <v>7.5587590388343284E-2</v>
      </c>
      <c r="O18" s="180"/>
    </row>
    <row r="19" spans="2:15" ht="12" customHeight="1">
      <c r="B19" s="375"/>
      <c r="C19" s="175">
        <f t="shared" si="10"/>
        <v>6.5000000000000016E-2</v>
      </c>
      <c r="D19" s="175"/>
      <c r="E19" s="175">
        <f t="shared" si="0"/>
        <v>0.24063453759748699</v>
      </c>
      <c r="F19" s="175">
        <f t="shared" si="1"/>
        <v>0.13910469005566792</v>
      </c>
      <c r="G19" s="175">
        <f t="shared" si="2"/>
        <v>0.10635278296506258</v>
      </c>
      <c r="H19" s="175">
        <f t="shared" si="3"/>
        <v>0.10237757395451723</v>
      </c>
      <c r="I19" s="175">
        <f t="shared" si="4"/>
        <v>9.8906326505204659E-2</v>
      </c>
      <c r="J19" s="175">
        <f t="shared" si="5"/>
        <v>9.5854610340660437E-2</v>
      </c>
      <c r="K19" s="175">
        <f t="shared" si="6"/>
        <v>9.3155751729756264E-2</v>
      </c>
      <c r="L19" s="175">
        <f t="shared" si="7"/>
        <v>9.0756395358304598E-2</v>
      </c>
      <c r="M19" s="175">
        <f t="shared" si="8"/>
        <v>8.1981481083984994E-2</v>
      </c>
      <c r="N19" s="175">
        <f t="shared" si="9"/>
        <v>7.6577442245910635E-2</v>
      </c>
      <c r="O19" s="180"/>
    </row>
    <row r="20" spans="2:15" ht="12" customHeight="1">
      <c r="B20" s="375"/>
      <c r="C20" s="175">
        <f t="shared" si="10"/>
        <v>6.6250000000000017E-2</v>
      </c>
      <c r="D20" s="175"/>
      <c r="E20" s="175">
        <f t="shared" si="0"/>
        <v>0.24144689344860473</v>
      </c>
      <c r="F20" s="175">
        <f t="shared" si="1"/>
        <v>0.13991952883810627</v>
      </c>
      <c r="G20" s="175">
        <f t="shared" si="2"/>
        <v>0.10720842577990236</v>
      </c>
      <c r="H20" s="175">
        <f t="shared" si="3"/>
        <v>0.10324251633770019</v>
      </c>
      <c r="I20" s="175">
        <f t="shared" si="4"/>
        <v>9.9780720390018826E-2</v>
      </c>
      <c r="J20" s="175">
        <f t="shared" si="5"/>
        <v>9.6738550825047842E-2</v>
      </c>
      <c r="K20" s="175">
        <f t="shared" si="6"/>
        <v>9.4049287990845318E-2</v>
      </c>
      <c r="L20" s="175">
        <f t="shared" si="7"/>
        <v>9.1659538944901656E-2</v>
      </c>
      <c r="M20" s="175">
        <f t="shared" si="8"/>
        <v>8.293189987844729E-2</v>
      </c>
      <c r="N20" s="175">
        <f t="shared" si="9"/>
        <v>7.7572320915286791E-2</v>
      </c>
      <c r="O20" s="180"/>
    </row>
    <row r="21" spans="2:15" ht="12" customHeight="1">
      <c r="B21" s="375"/>
      <c r="C21" s="175">
        <f t="shared" si="10"/>
        <v>6.7500000000000018E-2</v>
      </c>
      <c r="D21" s="175"/>
      <c r="E21" s="182">
        <f t="shared" si="0"/>
        <v>0.24226037313531529</v>
      </c>
      <c r="F21" s="182">
        <f t="shared" si="1"/>
        <v>0.14073661542386329</v>
      </c>
      <c r="G21" s="182">
        <f t="shared" si="2"/>
        <v>0.10806729129838023</v>
      </c>
      <c r="H21" s="182">
        <f t="shared" si="3"/>
        <v>0.1041108553306771</v>
      </c>
      <c r="I21" s="182">
        <f t="shared" si="4"/>
        <v>0.10065867709652424</v>
      </c>
      <c r="J21" s="182">
        <f t="shared" si="5"/>
        <v>9.7626212409459165E-2</v>
      </c>
      <c r="K21" s="182">
        <f t="shared" si="6"/>
        <v>9.4946695486004734E-2</v>
      </c>
      <c r="L21" s="182">
        <f t="shared" si="7"/>
        <v>9.2566695574456431E-2</v>
      </c>
      <c r="M21" s="182">
        <f t="shared" si="8"/>
        <v>8.3886911707086842E-2</v>
      </c>
      <c r="N21" s="182">
        <f t="shared" si="9"/>
        <v>7.8572154908608111E-2</v>
      </c>
      <c r="O21" s="180"/>
    </row>
    <row r="22" spans="2:15" ht="12" customHeight="1">
      <c r="B22" s="375"/>
      <c r="C22" s="175">
        <f t="shared" si="10"/>
        <v>6.8750000000000019E-2</v>
      </c>
      <c r="D22" s="175"/>
      <c r="E22" s="182">
        <f t="shared" si="0"/>
        <v>0.24307497426399755</v>
      </c>
      <c r="F22" s="182">
        <f t="shared" si="1"/>
        <v>0.14155594250026649</v>
      </c>
      <c r="G22" s="182">
        <f t="shared" si="2"/>
        <v>0.10892936310504239</v>
      </c>
      <c r="H22" s="182">
        <f t="shared" si="3"/>
        <v>0.10498257210228318</v>
      </c>
      <c r="I22" s="182">
        <f t="shared" si="4"/>
        <v>0.10154017517294318</v>
      </c>
      <c r="J22" s="182">
        <f t="shared" si="5"/>
        <v>9.851757081764638E-2</v>
      </c>
      <c r="K22" s="182">
        <f t="shared" si="6"/>
        <v>9.5847946913575385E-2</v>
      </c>
      <c r="L22" s="182">
        <f t="shared" si="7"/>
        <v>9.3477834723691366E-2</v>
      </c>
      <c r="M22" s="182">
        <f t="shared" si="8"/>
        <v>8.4846467277944232E-2</v>
      </c>
      <c r="N22" s="182">
        <f t="shared" si="9"/>
        <v>7.9576872850166278E-2</v>
      </c>
      <c r="O22" s="180"/>
    </row>
    <row r="23" spans="2:15" ht="12" customHeight="1">
      <c r="B23" s="375"/>
      <c r="C23" s="175">
        <f t="shared" si="10"/>
        <v>7.0000000000000021E-2</v>
      </c>
      <c r="D23" s="175"/>
      <c r="E23" s="175">
        <f t="shared" si="0"/>
        <v>0.24389069444137404</v>
      </c>
      <c r="F23" s="175">
        <f t="shared" si="1"/>
        <v>0.14237750272736474</v>
      </c>
      <c r="G23" s="175">
        <f t="shared" si="2"/>
        <v>0.10979462470100655</v>
      </c>
      <c r="H23" s="175">
        <f t="shared" si="3"/>
        <v>0.10585764772624282</v>
      </c>
      <c r="I23" s="175">
        <f t="shared" si="4"/>
        <v>0.10242519306166563</v>
      </c>
      <c r="J23" s="175">
        <f t="shared" si="5"/>
        <v>9.9412601658362035E-2</v>
      </c>
      <c r="K23" s="175">
        <f t="shared" si="6"/>
        <v>9.6753014849926086E-2</v>
      </c>
      <c r="L23" s="175">
        <f t="shared" si="7"/>
        <v>9.4392925743255723E-2</v>
      </c>
      <c r="M23" s="175">
        <f t="shared" si="8"/>
        <v>8.5810517220665641E-2</v>
      </c>
      <c r="N23" s="175">
        <f t="shared" si="9"/>
        <v>8.058640351111121E-2</v>
      </c>
      <c r="O23" s="180"/>
    </row>
    <row r="24" spans="2:15" ht="12" customHeight="1">
      <c r="B24" s="375"/>
      <c r="C24" s="175">
        <f t="shared" si="10"/>
        <v>7.1250000000000022E-2</v>
      </c>
      <c r="D24" s="175"/>
      <c r="E24" s="175">
        <f t="shared" si="0"/>
        <v>0.24470753127455661</v>
      </c>
      <c r="F24" s="175">
        <f t="shared" si="1"/>
        <v>0.14320128873859475</v>
      </c>
      <c r="G24" s="175">
        <f t="shared" si="2"/>
        <v>0.11066305950707807</v>
      </c>
      <c r="H24" s="175">
        <f t="shared" si="3"/>
        <v>0.1067360631851481</v>
      </c>
      <c r="I24" s="175">
        <f t="shared" si="4"/>
        <v>0.10331370910424698</v>
      </c>
      <c r="J24" s="175">
        <f t="shared" si="5"/>
        <v>0.10031128043154534</v>
      </c>
      <c r="K24" s="175">
        <f t="shared" si="6"/>
        <v>9.7661871757006288E-2</v>
      </c>
      <c r="L24" s="175">
        <f t="shared" si="7"/>
        <v>9.5311937866830815E-2</v>
      </c>
      <c r="M24" s="175">
        <f t="shared" si="8"/>
        <v>8.6779012106157932E-2</v>
      </c>
      <c r="N24" s="175">
        <f t="shared" si="9"/>
        <v>8.1600675843116338E-2</v>
      </c>
      <c r="O24" s="180"/>
    </row>
    <row r="25" spans="2:15" ht="12" customHeight="1">
      <c r="B25" s="375"/>
      <c r="C25" s="175">
        <f t="shared" si="10"/>
        <v>7.2500000000000023E-2</v>
      </c>
      <c r="D25" s="175"/>
      <c r="E25" s="182">
        <f t="shared" si="0"/>
        <v>0.24552548237108482</v>
      </c>
      <c r="F25" s="182">
        <f t="shared" si="1"/>
        <v>0.14402729314144216</v>
      </c>
      <c r="G25" s="182">
        <f t="shared" si="2"/>
        <v>0.11153465086684608</v>
      </c>
      <c r="H25" s="182">
        <f t="shared" si="3"/>
        <v>0.10761779937440938</v>
      </c>
      <c r="I25" s="182">
        <f t="shared" si="4"/>
        <v>0.10420570154636749</v>
      </c>
      <c r="J25" s="182">
        <f t="shared" si="5"/>
        <v>0.1012135825344551</v>
      </c>
      <c r="K25" s="182">
        <f t="shared" si="6"/>
        <v>9.8574489989826014E-2</v>
      </c>
      <c r="L25" s="182">
        <f t="shared" si="7"/>
        <v>9.6234840220136092E-2</v>
      </c>
      <c r="M25" s="182">
        <f t="shared" si="8"/>
        <v>8.7751902465868808E-2</v>
      </c>
      <c r="N25" s="182">
        <f t="shared" si="9"/>
        <v>8.2619619010995363E-2</v>
      </c>
      <c r="O25" s="180"/>
    </row>
    <row r="26" spans="2:15" ht="12" customHeight="1">
      <c r="B26" s="375"/>
      <c r="C26" s="175">
        <f t="shared" si="10"/>
        <v>7.3750000000000024E-2</v>
      </c>
      <c r="D26" s="175"/>
      <c r="E26" s="182">
        <f t="shared" si="0"/>
        <v>0.24634454533896688</v>
      </c>
      <c r="F26" s="182">
        <f t="shared" si="1"/>
        <v>0.14485550851809958</v>
      </c>
      <c r="G26" s="182">
        <f t="shared" si="2"/>
        <v>0.11240938204976067</v>
      </c>
      <c r="H26" s="182">
        <f t="shared" si="3"/>
        <v>0.10850283710617908</v>
      </c>
      <c r="I26" s="182">
        <f t="shared" si="4"/>
        <v>0.10510114854275315</v>
      </c>
      <c r="J26" s="182">
        <f t="shared" si="5"/>
        <v>0.10211948326774836</v>
      </c>
      <c r="K26" s="182">
        <f t="shared" si="6"/>
        <v>9.949084180386121E-2</v>
      </c>
      <c r="L26" s="182">
        <f t="shared" si="7"/>
        <v>9.7161601829834188E-2</v>
      </c>
      <c r="M26" s="182">
        <f t="shared" si="8"/>
        <v>8.8729138810685435E-2</v>
      </c>
      <c r="N26" s="182">
        <f t="shared" si="9"/>
        <v>8.3643162424263812E-2</v>
      </c>
      <c r="O26" s="180"/>
    </row>
    <row r="27" spans="2:15" ht="12" customHeight="1">
      <c r="B27" s="375"/>
      <c r="C27" s="175">
        <f t="shared" si="10"/>
        <v>7.5000000000000025E-2</v>
      </c>
      <c r="D27" s="175"/>
      <c r="E27" s="175">
        <f t="shared" si="0"/>
        <v>0.24716471778672044</v>
      </c>
      <c r="F27" s="175">
        <f t="shared" si="1"/>
        <v>0.14568592742612241</v>
      </c>
      <c r="G27" s="175">
        <f t="shared" si="2"/>
        <v>0.1132872362541904</v>
      </c>
      <c r="H27" s="175">
        <f t="shared" si="3"/>
        <v>0.10939115711324701</v>
      </c>
      <c r="I27" s="175">
        <f t="shared" si="4"/>
        <v>0.10600002816205643</v>
      </c>
      <c r="J27" s="175">
        <f t="shared" si="5"/>
        <v>0.10302895784150393</v>
      </c>
      <c r="K27" s="175">
        <f t="shared" si="6"/>
        <v>0.10041089936238234</v>
      </c>
      <c r="L27" s="175">
        <f t="shared" si="7"/>
        <v>9.809219163233146E-2</v>
      </c>
      <c r="M27" s="175">
        <f t="shared" si="8"/>
        <v>8.971067164944406E-2</v>
      </c>
      <c r="N27" s="175">
        <f t="shared" si="9"/>
        <v>8.4671235767639838E-2</v>
      </c>
      <c r="O27" s="180"/>
    </row>
    <row r="28" spans="2:15" ht="12" customHeight="1">
      <c r="B28" s="375"/>
      <c r="C28" s="175">
        <f t="shared" si="10"/>
        <v>7.6250000000000026E-2</v>
      </c>
      <c r="D28" s="175"/>
      <c r="E28" s="175">
        <f t="shared" si="0"/>
        <v>0.24798599732341162</v>
      </c>
      <c r="F28" s="175">
        <f t="shared" si="1"/>
        <v>0.1465185423990803</v>
      </c>
      <c r="G28" s="175">
        <f t="shared" si="2"/>
        <v>0.11416819661045872</v>
      </c>
      <c r="H28" s="175">
        <f t="shared" si="3"/>
        <v>0.11028274005290593</v>
      </c>
      <c r="I28" s="175">
        <f t="shared" si="4"/>
        <v>0.10690231839169566</v>
      </c>
      <c r="J28" s="175">
        <f t="shared" si="5"/>
        <v>0.10394198138118708</v>
      </c>
      <c r="K28" s="175">
        <f t="shared" si="6"/>
        <v>0.10133463474370322</v>
      </c>
      <c r="L28" s="175">
        <f t="shared" si="7"/>
        <v>9.9026578482470762E-2</v>
      </c>
      <c r="M28" s="175">
        <f t="shared" si="8"/>
        <v>9.0696451507044265E-2</v>
      </c>
      <c r="N28" s="175">
        <f t="shared" si="9"/>
        <v>8.5703769030480603E-2</v>
      </c>
      <c r="O28" s="180"/>
    </row>
    <row r="29" spans="2:15" ht="12" customHeight="1">
      <c r="B29" s="375"/>
      <c r="C29" s="175">
        <f t="shared" si="10"/>
        <v>7.7500000000000027E-2</v>
      </c>
      <c r="D29" s="175"/>
      <c r="E29" s="182">
        <f t="shared" si="0"/>
        <v>0.24880838155869484</v>
      </c>
      <c r="F29" s="182">
        <f t="shared" si="1"/>
        <v>0.14735334594720592</v>
      </c>
      <c r="G29" s="182">
        <f t="shared" si="2"/>
        <v>0.11505224618385927</v>
      </c>
      <c r="H29" s="182">
        <f t="shared" si="3"/>
        <v>0.11117756651078692</v>
      </c>
      <c r="I29" s="182">
        <f t="shared" si="4"/>
        <v>0.10780799714265109</v>
      </c>
      <c r="J29" s="182">
        <f t="shared" si="5"/>
        <v>0.10485852893355523</v>
      </c>
      <c r="K29" s="182">
        <f t="shared" si="6"/>
        <v>0.10226201994834809</v>
      </c>
      <c r="L29" s="182">
        <f t="shared" si="7"/>
        <v>9.9964731162113754E-2</v>
      </c>
      <c r="M29" s="182">
        <f t="shared" si="8"/>
        <v>9.1686428942162113E-2</v>
      </c>
      <c r="N29" s="182">
        <f t="shared" si="9"/>
        <v>8.6740692535152902E-2</v>
      </c>
      <c r="O29" s="180"/>
    </row>
    <row r="30" spans="2:15" ht="12" customHeight="1">
      <c r="B30" s="375"/>
      <c r="C30" s="175">
        <f t="shared" si="10"/>
        <v>7.8750000000000028E-2</v>
      </c>
      <c r="D30" s="175"/>
      <c r="E30" s="182">
        <f t="shared" si="0"/>
        <v>0.24963186810285343</v>
      </c>
      <c r="F30" s="182">
        <f t="shared" si="1"/>
        <v>0.14819033055804065</v>
      </c>
      <c r="G30" s="182">
        <f t="shared" si="2"/>
        <v>0.11593936797764944</v>
      </c>
      <c r="H30" s="182">
        <f t="shared" si="3"/>
        <v>0.11207561700466354</v>
      </c>
      <c r="I30" s="182">
        <f t="shared" si="4"/>
        <v>0.10871704225421729</v>
      </c>
      <c r="J30" s="182">
        <f t="shared" si="5"/>
        <v>0.10577857547250201</v>
      </c>
      <c r="K30" s="182">
        <f t="shared" si="6"/>
        <v>0.10319302690613501</v>
      </c>
      <c r="L30" s="182">
        <f t="shared" si="7"/>
        <v>0.10090661838861018</v>
      </c>
      <c r="M30" s="182">
        <f t="shared" si="8"/>
        <v>9.2680554564557163E-2</v>
      </c>
      <c r="N30" s="182">
        <f t="shared" si="9"/>
        <v>8.7781936964338017E-2</v>
      </c>
      <c r="O30" s="180"/>
    </row>
    <row r="31" spans="2:15" ht="12" customHeight="1">
      <c r="B31" s="375"/>
      <c r="C31" s="175">
        <f t="shared" si="10"/>
        <v>8.0000000000000029E-2</v>
      </c>
      <c r="D31" s="175"/>
      <c r="E31" s="175">
        <f t="shared" si="0"/>
        <v>0.25045645456683663</v>
      </c>
      <c r="F31" s="175">
        <f t="shared" si="1"/>
        <v>0.14902948869707541</v>
      </c>
      <c r="G31" s="175">
        <f t="shared" si="2"/>
        <v>0.11682954493602005</v>
      </c>
      <c r="H31" s="175">
        <f t="shared" si="3"/>
        <v>0.11297687198822262</v>
      </c>
      <c r="I31" s="175">
        <f t="shared" si="4"/>
        <v>0.10962943149870914</v>
      </c>
      <c r="J31" s="175">
        <f t="shared" si="5"/>
        <v>0.10670209590483778</v>
      </c>
      <c r="K31" s="175">
        <f t="shared" si="6"/>
        <v>0.10412762748317214</v>
      </c>
      <c r="L31" s="175">
        <f t="shared" si="7"/>
        <v>0.10185220882315064</v>
      </c>
      <c r="M31" s="175">
        <f t="shared" si="8"/>
        <v>9.3678779051968142E-2</v>
      </c>
      <c r="N31" s="175">
        <f t="shared" si="9"/>
        <v>8.8827433387272309E-2</v>
      </c>
      <c r="O31" s="180"/>
    </row>
    <row r="32" spans="2:15" ht="12" customHeight="1">
      <c r="B32" s="375"/>
      <c r="C32" s="175">
        <f t="shared" si="10"/>
        <v>8.1250000000000031E-2</v>
      </c>
      <c r="D32" s="175"/>
      <c r="E32" s="175">
        <f t="shared" si="0"/>
        <v>0.25128213856229892</v>
      </c>
      <c r="F32" s="175">
        <f t="shared" si="1"/>
        <v>0.14987081280838921</v>
      </c>
      <c r="G32" s="175">
        <f t="shared" si="2"/>
        <v>0.11772275994704279</v>
      </c>
      <c r="H32" s="175">
        <f t="shared" si="3"/>
        <v>0.11388131185480277</v>
      </c>
      <c r="I32" s="175">
        <f t="shared" si="4"/>
        <v>0.11054514258612172</v>
      </c>
      <c r="J32" s="175">
        <f t="shared" si="5"/>
        <v>0.10762906507600606</v>
      </c>
      <c r="K32" s="175">
        <f t="shared" si="6"/>
        <v>0.10506579348876685</v>
      </c>
      <c r="L32" s="175">
        <f t="shared" si="7"/>
        <v>0.10280147107900137</v>
      </c>
      <c r="M32" s="175">
        <f t="shared" si="8"/>
        <v>9.4681053166594309E-2</v>
      </c>
      <c r="N32" s="175">
        <f t="shared" si="9"/>
        <v>8.987711328492777E-2</v>
      </c>
      <c r="O32" s="180"/>
    </row>
    <row r="33" spans="2:15" ht="12" customHeight="1">
      <c r="B33" s="375"/>
      <c r="C33" s="175">
        <f t="shared" si="10"/>
        <v>8.2500000000000032E-2</v>
      </c>
      <c r="D33" s="175"/>
      <c r="E33" s="182">
        <f t="shared" si="0"/>
        <v>0.25210891770163968</v>
      </c>
      <c r="F33" s="182">
        <f t="shared" si="1"/>
        <v>0.15071429531528394</v>
      </c>
      <c r="G33" s="182">
        <f t="shared" si="2"/>
        <v>0.11861899584559324</v>
      </c>
      <c r="H33" s="182">
        <f t="shared" si="3"/>
        <v>0.1147889169410984</v>
      </c>
      <c r="I33" s="182">
        <f t="shared" si="4"/>
        <v>0.11146415316874239</v>
      </c>
      <c r="J33" s="182">
        <f t="shared" si="5"/>
        <v>0.10855945777573363</v>
      </c>
      <c r="K33" s="182">
        <f t="shared" si="6"/>
        <v>0.10600749668224434</v>
      </c>
      <c r="L33" s="182">
        <f t="shared" si="7"/>
        <v>0.10375437372961861</v>
      </c>
      <c r="M33" s="182">
        <f t="shared" si="8"/>
        <v>9.5687327771158695E-2</v>
      </c>
      <c r="N33" s="182">
        <f t="shared" si="9"/>
        <v>9.0930908574137145E-2</v>
      </c>
      <c r="O33" s="180"/>
    </row>
    <row r="34" spans="2:15" ht="12" customHeight="1">
      <c r="B34" s="375"/>
      <c r="C34" s="175">
        <f t="shared" si="10"/>
        <v>8.3750000000000033E-2</v>
      </c>
      <c r="D34" s="175"/>
      <c r="E34" s="182">
        <f t="shared" si="0"/>
        <v>0.25293678959803945</v>
      </c>
      <c r="F34" s="182">
        <f t="shared" si="1"/>
        <v>0.15155992862091502</v>
      </c>
      <c r="G34" s="182">
        <f t="shared" si="2"/>
        <v>0.11951823541624894</v>
      </c>
      <c r="H34" s="182">
        <f t="shared" si="3"/>
        <v>0.11569966753082851</v>
      </c>
      <c r="I34" s="182">
        <f t="shared" si="4"/>
        <v>0.11238644084571325</v>
      </c>
      <c r="J34" s="182">
        <f t="shared" si="5"/>
        <v>0.10949324874361274</v>
      </c>
      <c r="K34" s="182">
        <f t="shared" si="6"/>
        <v>0.10695270877967428</v>
      </c>
      <c r="L34" s="182">
        <f t="shared" si="7"/>
        <v>0.10471088531663958</v>
      </c>
      <c r="M34" s="182">
        <f t="shared" si="8"/>
        <v>9.6697553844550282E-2</v>
      </c>
      <c r="N34" s="182">
        <f t="shared" si="9"/>
        <v>9.1988751630669857E-2</v>
      </c>
      <c r="O34" s="180"/>
    </row>
    <row r="35" spans="2:15" ht="12" customHeight="1">
      <c r="B35" s="375"/>
      <c r="C35" s="175">
        <f t="shared" si="10"/>
        <v>8.5000000000000034E-2</v>
      </c>
      <c r="D35" s="175"/>
      <c r="E35" s="175">
        <f t="shared" si="0"/>
        <v>0.25376575186549927</v>
      </c>
      <c r="F35" s="175">
        <f t="shared" si="1"/>
        <v>0.15240770510891904</v>
      </c>
      <c r="G35" s="175">
        <f t="shared" si="2"/>
        <v>0.12042046139616291</v>
      </c>
      <c r="H35" s="175">
        <f t="shared" si="3"/>
        <v>0.11661354385837019</v>
      </c>
      <c r="I35" s="175">
        <f t="shared" si="4"/>
        <v>0.11331198316754432</v>
      </c>
      <c r="J35" s="175">
        <f t="shared" si="5"/>
        <v>0.11043041267461468</v>
      </c>
      <c r="K35" s="175">
        <f t="shared" si="6"/>
        <v>0.10790140146050418</v>
      </c>
      <c r="L35" s="175">
        <f t="shared" si="7"/>
        <v>0.10567097435774894</v>
      </c>
      <c r="M35" s="175">
        <f t="shared" si="8"/>
        <v>9.7711682497043414E-2</v>
      </c>
      <c r="N35" s="175">
        <f t="shared" si="9"/>
        <v>9.3050575311267689E-2</v>
      </c>
      <c r="O35" s="180"/>
    </row>
    <row r="36" spans="2:15" ht="12" customHeight="1">
      <c r="B36" s="375"/>
      <c r="C36" s="175">
        <f t="shared" si="10"/>
        <v>8.6250000000000035E-2</v>
      </c>
      <c r="D36" s="175"/>
      <c r="E36" s="175">
        <f t="shared" si="0"/>
        <v>0.25459580211887745</v>
      </c>
      <c r="F36" s="175">
        <f t="shared" si="1"/>
        <v>0.15325761714403688</v>
      </c>
      <c r="G36" s="175">
        <f t="shared" si="2"/>
        <v>0.12132565647791091</v>
      </c>
      <c r="H36" s="175">
        <f t="shared" si="3"/>
        <v>0.11753052611235501</v>
      </c>
      <c r="I36" s="175">
        <f t="shared" si="4"/>
        <v>0.11424075764057484</v>
      </c>
      <c r="J36" s="175">
        <f t="shared" si="5"/>
        <v>0.11137092422453276</v>
      </c>
      <c r="K36" s="175">
        <f t="shared" si="6"/>
        <v>0.10885354637409744</v>
      </c>
      <c r="L36" s="175">
        <f t="shared" si="7"/>
        <v>0.1066346093544184</v>
      </c>
      <c r="M36" s="175">
        <f t="shared" si="8"/>
        <v>9.8729664985092225E-2</v>
      </c>
      <c r="N36" s="175">
        <f t="shared" si="9"/>
        <v>9.4116312974648342E-2</v>
      </c>
      <c r="O36" s="180"/>
    </row>
    <row r="37" spans="2:15" ht="12" customHeight="1">
      <c r="B37" s="375"/>
      <c r="C37" s="175">
        <f t="shared" si="10"/>
        <v>8.7500000000000036E-2</v>
      </c>
      <c r="D37" s="175"/>
      <c r="E37" s="182">
        <f t="shared" si="0"/>
        <v>0.25542693797392646</v>
      </c>
      <c r="F37" s="182">
        <f t="shared" si="1"/>
        <v>0.15410965707273327</v>
      </c>
      <c r="G37" s="182">
        <f t="shared" si="2"/>
        <v>0.12223380331231214</v>
      </c>
      <c r="H37" s="182">
        <f t="shared" si="3"/>
        <v>0.11845059443922838</v>
      </c>
      <c r="I37" s="182">
        <f t="shared" si="4"/>
        <v>0.11517274173138282</v>
      </c>
      <c r="J37" s="182">
        <f t="shared" si="5"/>
        <v>0.11231475801535373</v>
      </c>
      <c r="K37" s="182">
        <f t="shared" si="6"/>
        <v>0.10980911514617447</v>
      </c>
      <c r="L37" s="182">
        <f t="shared" si="7"/>
        <v>0.10760175879951764</v>
      </c>
      <c r="M37" s="182">
        <f t="shared" si="8"/>
        <v>9.9751452725699463E-2</v>
      </c>
      <c r="N37" s="182">
        <f t="shared" si="9"/>
        <v>9.5185898501488203E-2</v>
      </c>
      <c r="O37" s="180"/>
    </row>
    <row r="38" spans="2:15" ht="12" customHeight="1">
      <c r="B38" s="375"/>
      <c r="C38" s="175">
        <f t="shared" si="10"/>
        <v>8.8750000000000037E-2</v>
      </c>
      <c r="D38" s="175"/>
      <c r="E38" s="182">
        <f t="shared" si="0"/>
        <v>0.25625915704733127</v>
      </c>
      <c r="F38" s="182">
        <f t="shared" si="1"/>
        <v>0.15496381722381328</v>
      </c>
      <c r="G38" s="182">
        <f t="shared" si="2"/>
        <v>0.12314488451122434</v>
      </c>
      <c r="H38" s="182">
        <f t="shared" si="3"/>
        <v>0.11937372894677115</v>
      </c>
      <c r="I38" s="182">
        <f t="shared" si="4"/>
        <v>0.11610791287114205</v>
      </c>
      <c r="J38" s="182">
        <f t="shared" si="5"/>
        <v>0.11326188864055713</v>
      </c>
      <c r="K38" s="182">
        <f t="shared" si="6"/>
        <v>0.11076807938515655</v>
      </c>
      <c r="L38" s="182">
        <f t="shared" si="7"/>
        <v>0.1085723911847955</v>
      </c>
      <c r="M38" s="182">
        <f t="shared" si="8"/>
        <v>0.10077699731035904</v>
      </c>
      <c r="N38" s="182">
        <f t="shared" si="9"/>
        <v>9.6259266313396E-2</v>
      </c>
      <c r="O38" s="180"/>
    </row>
    <row r="39" spans="2:15" ht="20.25" customHeight="1" thickBot="1">
      <c r="B39" s="376"/>
      <c r="C39" s="176">
        <f t="shared" si="10"/>
        <v>9.0000000000000038E-2</v>
      </c>
      <c r="D39" s="176"/>
      <c r="E39" s="176">
        <f t="shared" si="0"/>
        <v>0.25709245695674493</v>
      </c>
      <c r="F39" s="176">
        <f t="shared" si="1"/>
        <v>0.15582008990903379</v>
      </c>
      <c r="G39" s="176">
        <f t="shared" si="2"/>
        <v>0.12405888265031008</v>
      </c>
      <c r="H39" s="176">
        <f t="shared" si="3"/>
        <v>0.12029990970758217</v>
      </c>
      <c r="I39" s="176">
        <f t="shared" si="4"/>
        <v>0.11704624845992444</v>
      </c>
      <c r="J39" s="176">
        <f t="shared" si="5"/>
        <v>0.11421229067033992</v>
      </c>
      <c r="K39" s="176">
        <f t="shared" si="6"/>
        <v>0.11173041068840943</v>
      </c>
      <c r="L39" s="176">
        <f t="shared" si="7"/>
        <v>0.10954647500822927</v>
      </c>
      <c r="M39" s="176">
        <f t="shared" si="8"/>
        <v>0.10180625051857185</v>
      </c>
      <c r="N39" s="176">
        <f t="shared" si="9"/>
        <v>9.7336351390889822E-2</v>
      </c>
      <c r="O39" s="181"/>
    </row>
    <row r="40" spans="2:15" ht="12.5" thickTop="1"/>
  </sheetData>
  <mergeCells count="3">
    <mergeCell ref="E3:N4"/>
    <mergeCell ref="B7:B39"/>
    <mergeCell ref="B2:O2"/>
  </mergeCells>
  <phoneticPr fontId="2"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V206"/>
  <sheetViews>
    <sheetView topLeftCell="A15" zoomScaleNormal="100" workbookViewId="0">
      <selection activeCell="A22" sqref="A22"/>
    </sheetView>
  </sheetViews>
  <sheetFormatPr defaultColWidth="9" defaultRowHeight="12"/>
  <cols>
    <col min="1" max="1" width="2.6328125" style="3" customWidth="1"/>
    <col min="2" max="2" width="20.7265625" style="3" customWidth="1"/>
    <col min="3" max="9" width="8.6328125" style="3" customWidth="1"/>
    <col min="10" max="10" width="1.6328125" style="3" customWidth="1"/>
    <col min="11" max="11" width="10.6328125" style="3" bestFit="1" customWidth="1"/>
    <col min="12" max="16384" width="9" style="3"/>
  </cols>
  <sheetData>
    <row r="1" spans="2:12">
      <c r="B1" s="2"/>
    </row>
    <row r="2" spans="2:12">
      <c r="B2" s="66" t="s">
        <v>79</v>
      </c>
      <c r="E2" s="7"/>
      <c r="L2" s="156" t="s">
        <v>144</v>
      </c>
    </row>
    <row r="3" spans="2:12">
      <c r="B3" s="68" t="s">
        <v>8</v>
      </c>
      <c r="E3" s="73">
        <v>6700000</v>
      </c>
      <c r="G3" s="72" t="s">
        <v>10</v>
      </c>
      <c r="I3" s="20">
        <v>0.15</v>
      </c>
    </row>
    <row r="4" spans="2:12">
      <c r="B4" s="69" t="s">
        <v>21</v>
      </c>
      <c r="C4" s="8"/>
      <c r="E4" s="73">
        <v>5000000</v>
      </c>
      <c r="G4" s="72" t="s">
        <v>12</v>
      </c>
      <c r="I4" s="20">
        <v>0.21</v>
      </c>
    </row>
    <row r="5" spans="2:12">
      <c r="B5" s="70" t="s">
        <v>20</v>
      </c>
      <c r="C5" s="8"/>
      <c r="E5" s="104">
        <f>E3-E4</f>
        <v>1700000</v>
      </c>
      <c r="G5" s="72" t="s">
        <v>11</v>
      </c>
      <c r="I5" s="20">
        <v>0.25</v>
      </c>
    </row>
    <row r="6" spans="2:12">
      <c r="B6" s="67"/>
      <c r="G6" s="68" t="s">
        <v>9</v>
      </c>
      <c r="I6" s="73">
        <v>1150000</v>
      </c>
    </row>
    <row r="7" spans="2:12">
      <c r="B7" s="70" t="s">
        <v>22</v>
      </c>
      <c r="C7" s="8"/>
      <c r="E7" s="19">
        <v>0.05</v>
      </c>
      <c r="G7" s="69" t="s">
        <v>81</v>
      </c>
      <c r="I7" s="105">
        <f>E3-I6</f>
        <v>5550000</v>
      </c>
    </row>
    <row r="8" spans="2:12">
      <c r="B8" s="67" t="s">
        <v>84</v>
      </c>
      <c r="E8" s="22">
        <v>20</v>
      </c>
      <c r="G8" s="70" t="s">
        <v>82</v>
      </c>
      <c r="I8" s="21">
        <v>27.5</v>
      </c>
    </row>
    <row r="9" spans="2:12">
      <c r="B9" s="70" t="s">
        <v>83</v>
      </c>
      <c r="C9" s="8"/>
      <c r="E9" s="104">
        <f>-PMT(E7,E8,E4)</f>
        <v>401212.93595345656</v>
      </c>
    </row>
    <row r="10" spans="2:12">
      <c r="B10" s="70" t="s">
        <v>80</v>
      </c>
      <c r="C10" s="8"/>
      <c r="E10" s="19">
        <v>0</v>
      </c>
      <c r="G10" s="70" t="s">
        <v>88</v>
      </c>
      <c r="I10" s="20">
        <v>0.1</v>
      </c>
    </row>
    <row r="11" spans="2:12">
      <c r="B11" s="71" t="s">
        <v>86</v>
      </c>
      <c r="E11" s="27">
        <v>7</v>
      </c>
    </row>
    <row r="12" spans="2:12">
      <c r="B12" s="67"/>
    </row>
    <row r="13" spans="2:12">
      <c r="B13" s="70" t="s">
        <v>14</v>
      </c>
      <c r="C13" s="8"/>
      <c r="E13" s="73">
        <v>1000000</v>
      </c>
    </row>
    <row r="14" spans="2:12">
      <c r="B14" s="70" t="s">
        <v>15</v>
      </c>
      <c r="C14" s="8"/>
      <c r="E14" s="20">
        <v>0.03</v>
      </c>
    </row>
    <row r="15" spans="2:12">
      <c r="B15" s="72" t="s">
        <v>16</v>
      </c>
      <c r="C15" s="8"/>
      <c r="E15" s="20">
        <v>0.05</v>
      </c>
    </row>
    <row r="16" spans="2:12">
      <c r="B16" s="70" t="s">
        <v>17</v>
      </c>
      <c r="C16" s="8"/>
      <c r="E16" s="19">
        <v>0.05</v>
      </c>
    </row>
    <row r="17" spans="2:10">
      <c r="B17" s="72" t="s">
        <v>18</v>
      </c>
      <c r="C17" s="8"/>
      <c r="E17" s="19">
        <v>0.14000000000000001</v>
      </c>
    </row>
    <row r="18" spans="2:10">
      <c r="B18" s="70" t="s">
        <v>19</v>
      </c>
      <c r="C18" s="8"/>
      <c r="E18" s="19">
        <v>0.03</v>
      </c>
    </row>
    <row r="19" spans="2:10">
      <c r="B19" s="67" t="s">
        <v>33</v>
      </c>
      <c r="E19" s="24">
        <v>4.4999999999999998E-2</v>
      </c>
    </row>
    <row r="20" spans="2:10">
      <c r="B20" s="70" t="s">
        <v>13</v>
      </c>
      <c r="C20" s="8"/>
      <c r="E20" s="20">
        <v>0.08</v>
      </c>
    </row>
    <row r="21" spans="2:10">
      <c r="B21" s="70" t="s">
        <v>87</v>
      </c>
      <c r="C21" s="8"/>
      <c r="E21" s="20">
        <v>0.02</v>
      </c>
    </row>
    <row r="22" spans="2:10">
      <c r="B22" s="370" t="s">
        <v>180</v>
      </c>
      <c r="C22" s="370"/>
      <c r="D22" s="370"/>
      <c r="E22" s="370"/>
      <c r="F22" s="370"/>
      <c r="G22" s="370"/>
      <c r="H22" s="370"/>
      <c r="I22" s="370"/>
      <c r="J22" s="370"/>
    </row>
    <row r="23" spans="2:10" ht="12.5" thickBot="1">
      <c r="B23" s="156" t="s">
        <v>143</v>
      </c>
    </row>
    <row r="24" spans="2:10" ht="15" customHeight="1" thickTop="1" thickBot="1">
      <c r="B24" s="363" t="s">
        <v>123</v>
      </c>
      <c r="C24" s="364"/>
      <c r="D24" s="364"/>
      <c r="E24" s="364"/>
      <c r="F24" s="364"/>
      <c r="G24" s="364"/>
      <c r="H24" s="364"/>
      <c r="I24" s="364"/>
      <c r="J24" s="365"/>
    </row>
    <row r="25" spans="2:10" ht="12.5" thickTop="1">
      <c r="B25" s="77"/>
      <c r="C25" s="78"/>
      <c r="D25" s="78"/>
      <c r="E25" s="78"/>
      <c r="F25" s="79"/>
      <c r="G25" s="79"/>
      <c r="H25" s="79"/>
      <c r="I25" s="79"/>
      <c r="J25" s="89"/>
    </row>
    <row r="26" spans="2:10">
      <c r="B26" s="183" t="s">
        <v>89</v>
      </c>
      <c r="C26" s="97">
        <v>1</v>
      </c>
      <c r="D26" s="97">
        <v>2</v>
      </c>
      <c r="E26" s="97">
        <v>3</v>
      </c>
      <c r="F26" s="97">
        <v>4</v>
      </c>
      <c r="G26" s="97">
        <v>5</v>
      </c>
      <c r="H26" s="97">
        <v>6</v>
      </c>
      <c r="I26" s="97">
        <v>7</v>
      </c>
      <c r="J26" s="187"/>
    </row>
    <row r="27" spans="2:10">
      <c r="B27" s="184">
        <f>E4</f>
        <v>5000000</v>
      </c>
      <c r="C27" s="75"/>
      <c r="D27" s="75"/>
      <c r="E27" s="75"/>
      <c r="F27" s="75"/>
      <c r="G27" s="75"/>
      <c r="H27" s="75"/>
      <c r="I27" s="75"/>
      <c r="J27" s="188"/>
    </row>
    <row r="28" spans="2:10">
      <c r="B28" s="184"/>
      <c r="C28" s="75"/>
      <c r="D28" s="75"/>
      <c r="E28" s="75"/>
      <c r="F28" s="75"/>
      <c r="G28" s="75"/>
      <c r="H28" s="75"/>
      <c r="I28" s="75"/>
      <c r="J28" s="188"/>
    </row>
    <row r="29" spans="2:10">
      <c r="B29" s="87" t="s">
        <v>121</v>
      </c>
      <c r="C29" s="351"/>
      <c r="D29" s="351"/>
      <c r="E29" s="351"/>
      <c r="F29" s="351"/>
      <c r="G29" s="351"/>
      <c r="H29" s="351"/>
      <c r="I29" s="351"/>
      <c r="J29" s="189"/>
    </row>
    <row r="30" spans="2:10">
      <c r="B30" s="87"/>
      <c r="C30" s="163"/>
      <c r="D30" s="81"/>
      <c r="E30" s="81"/>
      <c r="F30" s="81"/>
      <c r="G30" s="81"/>
      <c r="H30" s="81"/>
      <c r="I30" s="81"/>
      <c r="J30" s="190"/>
    </row>
    <row r="31" spans="2:10">
      <c r="B31" s="87" t="s">
        <v>5</v>
      </c>
      <c r="C31" s="352"/>
      <c r="D31" s="352"/>
      <c r="E31" s="352"/>
      <c r="F31" s="352"/>
      <c r="G31" s="352"/>
      <c r="H31" s="352"/>
      <c r="I31" s="352"/>
      <c r="J31" s="191"/>
    </row>
    <row r="32" spans="2:10">
      <c r="B32" s="87" t="s">
        <v>6</v>
      </c>
      <c r="C32" s="347"/>
      <c r="D32" s="347"/>
      <c r="E32" s="347"/>
      <c r="F32" s="347"/>
      <c r="G32" s="347"/>
      <c r="H32" s="347"/>
      <c r="I32" s="347"/>
      <c r="J32" s="192"/>
    </row>
    <row r="33" spans="2:22">
      <c r="B33" s="87" t="s">
        <v>43</v>
      </c>
      <c r="C33" s="345"/>
      <c r="D33" s="345"/>
      <c r="E33" s="345"/>
      <c r="F33" s="345"/>
      <c r="G33" s="345"/>
      <c r="H33" s="345"/>
      <c r="I33" s="345"/>
      <c r="J33" s="193"/>
    </row>
    <row r="34" spans="2:22">
      <c r="B34" s="87"/>
      <c r="C34" s="82"/>
      <c r="D34" s="82"/>
      <c r="E34" s="82"/>
      <c r="F34" s="82"/>
      <c r="G34" s="82"/>
      <c r="H34" s="82"/>
      <c r="I34" s="82"/>
      <c r="J34" s="193"/>
    </row>
    <row r="35" spans="2:22">
      <c r="B35" s="87" t="s">
        <v>124</v>
      </c>
      <c r="C35" s="82"/>
      <c r="D35" s="82"/>
      <c r="E35" s="82"/>
      <c r="F35" s="82"/>
      <c r="G35" s="82"/>
      <c r="H35" s="82"/>
      <c r="I35" s="352"/>
      <c r="J35" s="193"/>
    </row>
    <row r="36" spans="2:22">
      <c r="B36" s="87"/>
      <c r="C36" s="98"/>
      <c r="D36" s="98"/>
      <c r="E36" s="98"/>
      <c r="F36" s="98"/>
      <c r="G36" s="98"/>
      <c r="H36" s="98"/>
      <c r="I36" s="98"/>
      <c r="J36" s="191"/>
    </row>
    <row r="37" spans="2:22" ht="20.25" customHeight="1" thickBot="1">
      <c r="B37" s="88" t="s">
        <v>122</v>
      </c>
      <c r="C37" s="353"/>
      <c r="D37" s="353"/>
      <c r="E37" s="353"/>
      <c r="F37" s="353"/>
      <c r="G37" s="353"/>
      <c r="H37" s="353"/>
      <c r="I37" s="353"/>
      <c r="J37" s="194"/>
    </row>
    <row r="38" spans="2:22" ht="12.5" thickTop="1"/>
    <row r="43" spans="2:22" ht="15" customHeight="1">
      <c r="B43" s="276"/>
      <c r="C43" s="276"/>
      <c r="D43" s="276"/>
      <c r="E43" s="276"/>
      <c r="F43" s="276"/>
      <c r="G43" s="276"/>
      <c r="H43" s="276"/>
      <c r="I43" s="276"/>
      <c r="J43" s="276"/>
      <c r="K43" s="8"/>
      <c r="L43" s="8"/>
      <c r="M43" s="8"/>
      <c r="N43" s="8"/>
      <c r="O43" s="8"/>
      <c r="P43" s="8"/>
      <c r="Q43" s="8"/>
      <c r="R43" s="8"/>
      <c r="S43" s="8"/>
      <c r="T43" s="8"/>
      <c r="U43" s="8"/>
      <c r="V43" s="8"/>
    </row>
    <row r="44" spans="2:22">
      <c r="B44" s="368" t="s">
        <v>145</v>
      </c>
      <c r="C44" s="368"/>
      <c r="D44" s="368"/>
      <c r="E44" s="368"/>
      <c r="F44" s="368"/>
      <c r="G44" s="368"/>
      <c r="H44" s="368"/>
      <c r="I44" s="368"/>
      <c r="J44" s="368"/>
      <c r="K44" s="368"/>
      <c r="L44" s="368"/>
      <c r="M44" s="368"/>
      <c r="N44" s="368"/>
      <c r="O44" s="368"/>
      <c r="P44" s="368"/>
      <c r="Q44" s="368"/>
      <c r="R44" s="368"/>
      <c r="S44" s="368"/>
      <c r="T44" s="368"/>
      <c r="U44" s="368"/>
      <c r="V44" s="368"/>
    </row>
    <row r="45" spans="2:22">
      <c r="B45" s="277" t="s">
        <v>89</v>
      </c>
      <c r="C45" s="140">
        <v>1</v>
      </c>
      <c r="D45" s="140">
        <v>2</v>
      </c>
      <c r="E45" s="140">
        <v>3</v>
      </c>
      <c r="F45" s="140">
        <v>4</v>
      </c>
      <c r="G45" s="140">
        <v>5</v>
      </c>
      <c r="H45" s="140">
        <v>6</v>
      </c>
      <c r="I45" s="140">
        <v>7</v>
      </c>
      <c r="J45" s="140">
        <f>I45+1</f>
        <v>8</v>
      </c>
      <c r="K45" s="140">
        <f t="shared" ref="K45:U45" si="0">J45+1</f>
        <v>9</v>
      </c>
      <c r="L45" s="140">
        <f t="shared" si="0"/>
        <v>10</v>
      </c>
      <c r="M45" s="140">
        <f t="shared" si="0"/>
        <v>11</v>
      </c>
      <c r="N45" s="140">
        <f t="shared" si="0"/>
        <v>12</v>
      </c>
      <c r="O45" s="140">
        <f t="shared" si="0"/>
        <v>13</v>
      </c>
      <c r="P45" s="140">
        <f t="shared" si="0"/>
        <v>14</v>
      </c>
      <c r="Q45" s="140">
        <f t="shared" si="0"/>
        <v>15</v>
      </c>
      <c r="R45" s="140">
        <f t="shared" si="0"/>
        <v>16</v>
      </c>
      <c r="S45" s="140">
        <f t="shared" si="0"/>
        <v>17</v>
      </c>
      <c r="T45" s="140">
        <f t="shared" si="0"/>
        <v>18</v>
      </c>
      <c r="U45" s="140">
        <f t="shared" si="0"/>
        <v>19</v>
      </c>
      <c r="V45" s="140">
        <f t="shared" ref="V45" si="1">U45+1</f>
        <v>20</v>
      </c>
    </row>
    <row r="46" spans="2:22">
      <c r="B46" s="278">
        <f>E4</f>
        <v>5000000</v>
      </c>
      <c r="C46" s="271"/>
      <c r="D46" s="271"/>
      <c r="E46" s="271"/>
      <c r="F46" s="271"/>
      <c r="G46" s="271"/>
      <c r="H46" s="271"/>
      <c r="I46" s="271"/>
      <c r="J46" s="271"/>
      <c r="K46" s="271"/>
      <c r="L46" s="271"/>
      <c r="M46" s="271"/>
      <c r="N46" s="271"/>
      <c r="O46" s="271"/>
      <c r="P46" s="271"/>
      <c r="Q46" s="271"/>
      <c r="R46" s="271"/>
      <c r="S46" s="271"/>
      <c r="T46" s="271"/>
      <c r="U46" s="271"/>
      <c r="V46" s="271"/>
    </row>
    <row r="47" spans="2:22">
      <c r="B47" s="278"/>
      <c r="C47" s="271"/>
      <c r="D47" s="271"/>
      <c r="E47" s="271"/>
      <c r="F47" s="271"/>
      <c r="G47" s="271"/>
      <c r="H47" s="271"/>
      <c r="I47" s="271"/>
      <c r="J47" s="271"/>
      <c r="K47" s="271"/>
      <c r="L47" s="271"/>
      <c r="M47" s="271"/>
      <c r="N47" s="271"/>
      <c r="O47" s="271"/>
      <c r="P47" s="271"/>
      <c r="Q47" s="271"/>
      <c r="R47" s="271"/>
      <c r="S47" s="271"/>
      <c r="T47" s="271"/>
      <c r="U47" s="271"/>
      <c r="V47" s="271"/>
    </row>
    <row r="48" spans="2:22">
      <c r="B48" s="279" t="s">
        <v>121</v>
      </c>
      <c r="C48" s="272">
        <f>B46</f>
        <v>5000000</v>
      </c>
      <c r="D48" s="272">
        <f>C54</f>
        <v>4848787.0640465431</v>
      </c>
      <c r="E48" s="272">
        <f t="shared" ref="E48:I48" si="2">D54</f>
        <v>4690013.4812954133</v>
      </c>
      <c r="F48" s="272">
        <f t="shared" si="2"/>
        <v>4523301.2194067277</v>
      </c>
      <c r="G48" s="272">
        <f t="shared" si="2"/>
        <v>4348253.3444236079</v>
      </c>
      <c r="H48" s="272">
        <f t="shared" si="2"/>
        <v>4164453.0756913316</v>
      </c>
      <c r="I48" s="272">
        <f t="shared" si="2"/>
        <v>3971462.7935224418</v>
      </c>
      <c r="J48" s="272">
        <f t="shared" ref="J48:U48" si="3">I54</f>
        <v>3768822.9972451073</v>
      </c>
      <c r="K48" s="272">
        <f t="shared" si="3"/>
        <v>3556051.2111539063</v>
      </c>
      <c r="L48" s="272">
        <f t="shared" si="3"/>
        <v>3332640.835758145</v>
      </c>
      <c r="M48" s="272">
        <f t="shared" si="3"/>
        <v>3098059.9415925955</v>
      </c>
      <c r="N48" s="272">
        <f t="shared" si="3"/>
        <v>2851750.0027187685</v>
      </c>
      <c r="O48" s="272">
        <f t="shared" si="3"/>
        <v>2593124.5669012503</v>
      </c>
      <c r="P48" s="272">
        <f t="shared" si="3"/>
        <v>2321567.8592928564</v>
      </c>
      <c r="Q48" s="272">
        <f t="shared" si="3"/>
        <v>2036433.3163040427</v>
      </c>
      <c r="R48" s="272">
        <f t="shared" si="3"/>
        <v>1737042.0461657883</v>
      </c>
      <c r="S48" s="272">
        <f t="shared" si="3"/>
        <v>1422681.2125206213</v>
      </c>
      <c r="T48" s="272">
        <f t="shared" si="3"/>
        <v>1092602.3371931957</v>
      </c>
      <c r="U48" s="272">
        <f t="shared" si="3"/>
        <v>746019.51809939882</v>
      </c>
      <c r="V48" s="272">
        <f t="shared" ref="V48" si="4">U54</f>
        <v>382107.55805091216</v>
      </c>
    </row>
    <row r="49" spans="2:22" ht="8.25" customHeight="1">
      <c r="B49" s="279"/>
      <c r="C49" s="8"/>
      <c r="D49" s="273"/>
      <c r="E49" s="273"/>
      <c r="F49" s="273"/>
      <c r="G49" s="273"/>
      <c r="H49" s="273"/>
      <c r="I49" s="273"/>
      <c r="J49" s="273"/>
      <c r="K49" s="273"/>
      <c r="L49" s="273"/>
      <c r="M49" s="273"/>
      <c r="N49" s="273"/>
      <c r="O49" s="273"/>
      <c r="P49" s="273"/>
      <c r="Q49" s="273"/>
      <c r="R49" s="273"/>
      <c r="S49" s="273"/>
      <c r="T49" s="273"/>
      <c r="U49" s="273"/>
      <c r="V49" s="273"/>
    </row>
    <row r="50" spans="2:22">
      <c r="B50" s="279" t="s">
        <v>5</v>
      </c>
      <c r="C50" s="274">
        <f>E7*B46</f>
        <v>250000</v>
      </c>
      <c r="D50" s="274">
        <f t="shared" ref="D50:I50" si="5">$E$7*C54</f>
        <v>242439.35320232715</v>
      </c>
      <c r="E50" s="274">
        <f t="shared" si="5"/>
        <v>234500.67406477069</v>
      </c>
      <c r="F50" s="274">
        <f t="shared" si="5"/>
        <v>226165.0609703364</v>
      </c>
      <c r="G50" s="274">
        <f t="shared" si="5"/>
        <v>217412.6672211804</v>
      </c>
      <c r="H50" s="274">
        <f t="shared" si="5"/>
        <v>208222.65378456659</v>
      </c>
      <c r="I50" s="274">
        <f t="shared" si="5"/>
        <v>198573.13967612211</v>
      </c>
      <c r="J50" s="274">
        <f t="shared" ref="J50" si="6">$E$7*I54</f>
        <v>188441.14986225538</v>
      </c>
      <c r="K50" s="274">
        <f t="shared" ref="K50" si="7">$E$7*J54</f>
        <v>177802.56055769534</v>
      </c>
      <c r="L50" s="274">
        <f t="shared" ref="L50" si="8">$E$7*K54</f>
        <v>166632.04178790725</v>
      </c>
      <c r="M50" s="274">
        <f t="shared" ref="M50" si="9">$E$7*L54</f>
        <v>154902.99707962977</v>
      </c>
      <c r="N50" s="274">
        <f t="shared" ref="N50" si="10">$E$7*M54</f>
        <v>142587.50013593843</v>
      </c>
      <c r="O50" s="274">
        <f t="shared" ref="O50" si="11">$E$7*N54</f>
        <v>129656.22834506253</v>
      </c>
      <c r="P50" s="274">
        <f t="shared" ref="P50" si="12">$E$7*O54</f>
        <v>116078.39296464283</v>
      </c>
      <c r="Q50" s="274">
        <f t="shared" ref="Q50" si="13">$E$7*P54</f>
        <v>101821.66581520214</v>
      </c>
      <c r="R50" s="274">
        <f t="shared" ref="R50" si="14">$E$7*Q54</f>
        <v>86852.102308289424</v>
      </c>
      <c r="S50" s="274">
        <f t="shared" ref="S50" si="15">$E$7*R54</f>
        <v>71134.06062603106</v>
      </c>
      <c r="T50" s="274">
        <f t="shared" ref="T50" si="16">$E$7*S54</f>
        <v>54630.116859659785</v>
      </c>
      <c r="U50" s="274">
        <f t="shared" ref="U50:V50" si="17">$E$7*T54</f>
        <v>37300.975904969942</v>
      </c>
      <c r="V50" s="274">
        <f t="shared" si="17"/>
        <v>19105.37790254561</v>
      </c>
    </row>
    <row r="51" spans="2:22">
      <c r="B51" s="279" t="s">
        <v>6</v>
      </c>
      <c r="C51" s="274">
        <f t="shared" ref="C51:I51" si="18">-PPMT($E$7,C45,$E$8,$E$4)</f>
        <v>151212.93595345656</v>
      </c>
      <c r="D51" s="274">
        <f t="shared" si="18"/>
        <v>158773.5827511294</v>
      </c>
      <c r="E51" s="274">
        <f t="shared" si="18"/>
        <v>166712.26188868587</v>
      </c>
      <c r="F51" s="274">
        <f t="shared" si="18"/>
        <v>175047.87498312013</v>
      </c>
      <c r="G51" s="274">
        <f t="shared" si="18"/>
        <v>183800.26873227616</v>
      </c>
      <c r="H51" s="274">
        <f t="shared" si="18"/>
        <v>192990.28216889</v>
      </c>
      <c r="I51" s="274">
        <f t="shared" si="18"/>
        <v>202639.79627733448</v>
      </c>
      <c r="J51" s="274">
        <f t="shared" ref="J51:U51" si="19">-PPMT($E$7,J45,$E$8,$E$4)</f>
        <v>212771.78609120121</v>
      </c>
      <c r="K51" s="274">
        <f t="shared" si="19"/>
        <v>223410.37539576131</v>
      </c>
      <c r="L51" s="274">
        <f t="shared" si="19"/>
        <v>234580.89416554931</v>
      </c>
      <c r="M51" s="274">
        <f t="shared" si="19"/>
        <v>246309.93887382682</v>
      </c>
      <c r="N51" s="274">
        <f t="shared" si="19"/>
        <v>258625.43581751816</v>
      </c>
      <c r="O51" s="274">
        <f t="shared" si="19"/>
        <v>271556.70760839403</v>
      </c>
      <c r="P51" s="274">
        <f t="shared" si="19"/>
        <v>285134.54298881372</v>
      </c>
      <c r="Q51" s="274">
        <f t="shared" si="19"/>
        <v>299391.27013825445</v>
      </c>
      <c r="R51" s="274">
        <f t="shared" si="19"/>
        <v>314360.83364516718</v>
      </c>
      <c r="S51" s="274">
        <f t="shared" si="19"/>
        <v>330078.87532742554</v>
      </c>
      <c r="T51" s="274">
        <f t="shared" si="19"/>
        <v>346582.81909379683</v>
      </c>
      <c r="U51" s="274">
        <f t="shared" si="19"/>
        <v>363911.96004848665</v>
      </c>
      <c r="V51" s="274">
        <f t="shared" ref="V51" si="20">-PPMT($E$7,V45,$E$8,$E$4)</f>
        <v>382107.55805091094</v>
      </c>
    </row>
    <row r="52" spans="2:22">
      <c r="B52" s="279" t="s">
        <v>43</v>
      </c>
      <c r="C52" s="275">
        <f>SUM(C50:C51)</f>
        <v>401212.93595345656</v>
      </c>
      <c r="D52" s="275">
        <f t="shared" ref="D52:I52" si="21">SUM(D50:D51)</f>
        <v>401212.93595345656</v>
      </c>
      <c r="E52" s="275">
        <f t="shared" si="21"/>
        <v>401212.93595345656</v>
      </c>
      <c r="F52" s="275">
        <f t="shared" si="21"/>
        <v>401212.93595345656</v>
      </c>
      <c r="G52" s="275">
        <f t="shared" si="21"/>
        <v>401212.93595345656</v>
      </c>
      <c r="H52" s="275">
        <f t="shared" si="21"/>
        <v>401212.93595345656</v>
      </c>
      <c r="I52" s="275">
        <f t="shared" si="21"/>
        <v>401212.93595345656</v>
      </c>
      <c r="J52" s="275">
        <f t="shared" ref="J52:U52" si="22">SUM(J50:J51)</f>
        <v>401212.93595345656</v>
      </c>
      <c r="K52" s="275">
        <f t="shared" si="22"/>
        <v>401212.93595345668</v>
      </c>
      <c r="L52" s="275">
        <f t="shared" si="22"/>
        <v>401212.93595345656</v>
      </c>
      <c r="M52" s="275">
        <f t="shared" si="22"/>
        <v>401212.93595345656</v>
      </c>
      <c r="N52" s="275">
        <f t="shared" si="22"/>
        <v>401212.93595345656</v>
      </c>
      <c r="O52" s="275">
        <f t="shared" si="22"/>
        <v>401212.93595345656</v>
      </c>
      <c r="P52" s="275">
        <f t="shared" si="22"/>
        <v>401212.93595345656</v>
      </c>
      <c r="Q52" s="275">
        <f t="shared" si="22"/>
        <v>401212.93595345656</v>
      </c>
      <c r="R52" s="275">
        <f t="shared" si="22"/>
        <v>401212.93595345662</v>
      </c>
      <c r="S52" s="275">
        <f t="shared" si="22"/>
        <v>401212.93595345662</v>
      </c>
      <c r="T52" s="275">
        <f t="shared" si="22"/>
        <v>401212.93595345662</v>
      </c>
      <c r="U52" s="275">
        <f t="shared" si="22"/>
        <v>401212.93595345662</v>
      </c>
      <c r="V52" s="275">
        <f t="shared" ref="V52" si="23">SUM(V50:V51)</f>
        <v>401212.93595345656</v>
      </c>
    </row>
    <row r="53" spans="2:22" ht="8.25" customHeight="1">
      <c r="B53" s="279"/>
      <c r="C53" s="274"/>
      <c r="D53" s="274"/>
      <c r="E53" s="274"/>
      <c r="F53" s="274"/>
      <c r="G53" s="274"/>
      <c r="H53" s="274"/>
      <c r="I53" s="274"/>
      <c r="J53" s="274"/>
      <c r="K53" s="274"/>
      <c r="L53" s="274"/>
      <c r="M53" s="274"/>
      <c r="N53" s="274"/>
      <c r="O53" s="274"/>
      <c r="P53" s="274"/>
      <c r="Q53" s="274"/>
      <c r="R53" s="274"/>
      <c r="S53" s="274"/>
      <c r="T53" s="274"/>
      <c r="U53" s="274"/>
      <c r="V53" s="274"/>
    </row>
    <row r="54" spans="2:22" ht="20.25" customHeight="1">
      <c r="B54" s="280" t="s">
        <v>122</v>
      </c>
      <c r="C54" s="281">
        <f>B46-C51</f>
        <v>4848787.0640465431</v>
      </c>
      <c r="D54" s="281">
        <f t="shared" ref="D54:I54" si="24">C54-D51</f>
        <v>4690013.4812954133</v>
      </c>
      <c r="E54" s="281">
        <f t="shared" si="24"/>
        <v>4523301.2194067277</v>
      </c>
      <c r="F54" s="281">
        <f t="shared" si="24"/>
        <v>4348253.3444236079</v>
      </c>
      <c r="G54" s="281">
        <f t="shared" si="24"/>
        <v>4164453.0756913316</v>
      </c>
      <c r="H54" s="281">
        <f t="shared" si="24"/>
        <v>3971462.7935224418</v>
      </c>
      <c r="I54" s="281">
        <f t="shared" si="24"/>
        <v>3768822.9972451073</v>
      </c>
      <c r="J54" s="281">
        <f t="shared" ref="J54" si="25">I54-J51</f>
        <v>3556051.2111539063</v>
      </c>
      <c r="K54" s="281">
        <f t="shared" ref="K54" si="26">J54-K51</f>
        <v>3332640.835758145</v>
      </c>
      <c r="L54" s="281">
        <f t="shared" ref="L54" si="27">K54-L51</f>
        <v>3098059.9415925955</v>
      </c>
      <c r="M54" s="281">
        <f t="shared" ref="M54" si="28">L54-M51</f>
        <v>2851750.0027187685</v>
      </c>
      <c r="N54" s="281">
        <f t="shared" ref="N54" si="29">M54-N51</f>
        <v>2593124.5669012503</v>
      </c>
      <c r="O54" s="281">
        <f t="shared" ref="O54" si="30">N54-O51</f>
        <v>2321567.8592928564</v>
      </c>
      <c r="P54" s="281">
        <f t="shared" ref="P54" si="31">O54-P51</f>
        <v>2036433.3163040427</v>
      </c>
      <c r="Q54" s="281">
        <f t="shared" ref="Q54" si="32">P54-Q51</f>
        <v>1737042.0461657883</v>
      </c>
      <c r="R54" s="281">
        <f t="shared" ref="R54" si="33">Q54-R51</f>
        <v>1422681.2125206213</v>
      </c>
      <c r="S54" s="281">
        <f t="shared" ref="S54" si="34">R54-S51</f>
        <v>1092602.3371931957</v>
      </c>
      <c r="T54" s="281">
        <f t="shared" ref="T54" si="35">S54-T51</f>
        <v>746019.51809939882</v>
      </c>
      <c r="U54" s="281">
        <f t="shared" ref="U54:V54" si="36">T54-U51</f>
        <v>382107.55805091216</v>
      </c>
      <c r="V54" s="281">
        <f t="shared" si="36"/>
        <v>1.2223608791828156E-9</v>
      </c>
    </row>
    <row r="75" spans="2:5">
      <c r="B75" s="2"/>
      <c r="C75" s="8"/>
      <c r="E75" s="11"/>
    </row>
    <row r="80" spans="2:5">
      <c r="B80" s="5"/>
      <c r="C80" s="8"/>
      <c r="E80" s="6"/>
    </row>
    <row r="83" spans="2:5">
      <c r="B83" s="2"/>
      <c r="C83" s="8"/>
      <c r="E83" s="4"/>
    </row>
    <row r="85" spans="2:5">
      <c r="B85" s="5"/>
      <c r="C85" s="8"/>
      <c r="E85" s="10"/>
    </row>
    <row r="86" spans="2:5">
      <c r="B86" s="5"/>
      <c r="C86" s="8"/>
      <c r="E86" s="9"/>
    </row>
    <row r="87" spans="2:5">
      <c r="B87" s="5"/>
      <c r="C87" s="8"/>
      <c r="E87" s="12"/>
    </row>
    <row r="90" spans="2:5">
      <c r="C90" s="8"/>
    </row>
    <row r="91" spans="2:5">
      <c r="C91" s="8"/>
    </row>
    <row r="92" spans="2:5">
      <c r="C92" s="8"/>
    </row>
    <row r="93" spans="2:5">
      <c r="C93" s="8"/>
    </row>
    <row r="94" spans="2:5">
      <c r="C94" s="8"/>
    </row>
    <row r="95" spans="2:5">
      <c r="C95" s="8"/>
    </row>
    <row r="96" spans="2:5">
      <c r="C96" s="8"/>
    </row>
    <row r="97" spans="2:3">
      <c r="B97" s="8"/>
      <c r="C97" s="8"/>
    </row>
    <row r="98" spans="2:3">
      <c r="B98" s="8"/>
      <c r="C98" s="8"/>
    </row>
    <row r="99" spans="2:3">
      <c r="B99" s="8"/>
      <c r="C99" s="8"/>
    </row>
    <row r="100" spans="2:3">
      <c r="B100" s="8"/>
      <c r="C100" s="8"/>
    </row>
    <row r="101" spans="2:3">
      <c r="B101" s="8"/>
      <c r="C101" s="8"/>
    </row>
    <row r="102" spans="2:3">
      <c r="B102" s="8"/>
      <c r="C102" s="8"/>
    </row>
    <row r="103" spans="2:3">
      <c r="B103" s="8"/>
      <c r="C103" s="8"/>
    </row>
    <row r="104" spans="2:3">
      <c r="B104" s="8"/>
      <c r="C104" s="8"/>
    </row>
    <row r="105" spans="2:3">
      <c r="B105" s="8"/>
      <c r="C105" s="8"/>
    </row>
    <row r="106" spans="2:3">
      <c r="B106" s="8"/>
      <c r="C106" s="8"/>
    </row>
    <row r="107" spans="2:3">
      <c r="B107" s="8"/>
      <c r="C107" s="8"/>
    </row>
    <row r="108" spans="2:3">
      <c r="B108" s="8"/>
      <c r="C108" s="8"/>
    </row>
    <row r="109" spans="2:3">
      <c r="B109" s="8"/>
      <c r="C109" s="8"/>
    </row>
    <row r="110" spans="2:3">
      <c r="B110" s="8"/>
      <c r="C110" s="8"/>
    </row>
    <row r="111" spans="2:3">
      <c r="B111" s="8"/>
      <c r="C111" s="8"/>
    </row>
    <row r="112" spans="2:3">
      <c r="B112" s="8"/>
      <c r="C112" s="8"/>
    </row>
    <row r="113" spans="2:3">
      <c r="B113" s="8"/>
      <c r="C113" s="8"/>
    </row>
    <row r="114" spans="2:3">
      <c r="B114" s="8"/>
      <c r="C114" s="8"/>
    </row>
    <row r="115" spans="2:3">
      <c r="B115" s="8"/>
      <c r="C115" s="8"/>
    </row>
    <row r="116" spans="2:3">
      <c r="B116" s="8"/>
      <c r="C116" s="8"/>
    </row>
    <row r="117" spans="2:3">
      <c r="B117" s="8"/>
      <c r="C117" s="8"/>
    </row>
    <row r="118" spans="2:3">
      <c r="B118" s="8"/>
      <c r="C118" s="8"/>
    </row>
    <row r="119" spans="2:3">
      <c r="B119" s="8"/>
      <c r="C119" s="8"/>
    </row>
    <row r="120" spans="2:3">
      <c r="B120" s="8"/>
      <c r="C120" s="8"/>
    </row>
    <row r="121" spans="2:3">
      <c r="B121" s="8"/>
      <c r="C121" s="8"/>
    </row>
    <row r="122" spans="2:3">
      <c r="B122" s="8"/>
      <c r="C122" s="8"/>
    </row>
    <row r="123" spans="2:3">
      <c r="B123" s="8"/>
      <c r="C123" s="8"/>
    </row>
    <row r="124" spans="2:3">
      <c r="B124" s="8"/>
      <c r="C124" s="8"/>
    </row>
    <row r="125" spans="2:3">
      <c r="B125" s="8"/>
      <c r="C125" s="8"/>
    </row>
    <row r="126" spans="2:3">
      <c r="B126" s="8"/>
      <c r="C126" s="8"/>
    </row>
    <row r="127" spans="2:3">
      <c r="B127" s="8"/>
      <c r="C127" s="8"/>
    </row>
    <row r="128" spans="2:3">
      <c r="B128" s="8"/>
      <c r="C128" s="8"/>
    </row>
    <row r="129" spans="2:3">
      <c r="B129" s="8"/>
      <c r="C129" s="8"/>
    </row>
    <row r="130" spans="2:3">
      <c r="B130" s="8"/>
      <c r="C130" s="8"/>
    </row>
    <row r="131" spans="2:3">
      <c r="B131" s="8"/>
      <c r="C131" s="8"/>
    </row>
    <row r="132" spans="2:3">
      <c r="B132" s="8"/>
      <c r="C132" s="8"/>
    </row>
    <row r="133" spans="2:3">
      <c r="B133" s="8"/>
      <c r="C133" s="8"/>
    </row>
    <row r="134" spans="2:3">
      <c r="B134" s="8"/>
      <c r="C134" s="8"/>
    </row>
    <row r="135" spans="2:3">
      <c r="B135" s="8"/>
      <c r="C135" s="8"/>
    </row>
    <row r="136" spans="2:3">
      <c r="B136" s="8"/>
      <c r="C136" s="8"/>
    </row>
    <row r="137" spans="2:3">
      <c r="B137" s="8"/>
      <c r="C137" s="8"/>
    </row>
    <row r="138" spans="2:3">
      <c r="B138" s="8"/>
      <c r="C138" s="8"/>
    </row>
    <row r="139" spans="2:3">
      <c r="B139" s="8"/>
      <c r="C139" s="8"/>
    </row>
    <row r="140" spans="2:3">
      <c r="B140" s="8"/>
      <c r="C140" s="8"/>
    </row>
    <row r="141" spans="2:3">
      <c r="B141" s="8"/>
      <c r="C141" s="8"/>
    </row>
    <row r="142" spans="2:3">
      <c r="B142" s="8"/>
      <c r="C142" s="8"/>
    </row>
    <row r="143" spans="2:3">
      <c r="B143" s="8"/>
      <c r="C143" s="8"/>
    </row>
    <row r="144" spans="2:3">
      <c r="B144" s="8"/>
      <c r="C144" s="8"/>
    </row>
    <row r="145" spans="2:3">
      <c r="B145" s="8"/>
      <c r="C145" s="8"/>
    </row>
    <row r="146" spans="2:3">
      <c r="B146" s="8"/>
      <c r="C146" s="8"/>
    </row>
    <row r="147" spans="2:3">
      <c r="B147" s="8"/>
      <c r="C147" s="8"/>
    </row>
    <row r="148" spans="2:3">
      <c r="B148" s="8"/>
      <c r="C148" s="8"/>
    </row>
    <row r="149" spans="2:3">
      <c r="B149" s="8"/>
      <c r="C149" s="8"/>
    </row>
    <row r="150" spans="2:3">
      <c r="B150" s="8"/>
      <c r="C150" s="8"/>
    </row>
    <row r="151" spans="2:3">
      <c r="B151" s="8"/>
      <c r="C151" s="8"/>
    </row>
    <row r="152" spans="2:3">
      <c r="B152" s="8"/>
      <c r="C152" s="8"/>
    </row>
    <row r="153" spans="2:3">
      <c r="B153" s="8"/>
      <c r="C153" s="8"/>
    </row>
    <row r="154" spans="2:3">
      <c r="B154" s="8"/>
      <c r="C154" s="8"/>
    </row>
    <row r="155" spans="2:3">
      <c r="B155" s="8"/>
      <c r="C155" s="8"/>
    </row>
    <row r="156" spans="2:3">
      <c r="B156" s="8"/>
      <c r="C156" s="8"/>
    </row>
    <row r="157" spans="2:3">
      <c r="B157" s="8"/>
      <c r="C157" s="8"/>
    </row>
    <row r="158" spans="2:3">
      <c r="B158" s="8"/>
      <c r="C158" s="8"/>
    </row>
    <row r="159" spans="2:3">
      <c r="B159" s="8"/>
      <c r="C159" s="8"/>
    </row>
    <row r="160" spans="2:3">
      <c r="B160" s="8"/>
      <c r="C160" s="8"/>
    </row>
    <row r="161" spans="2:3">
      <c r="B161" s="8"/>
      <c r="C161" s="8"/>
    </row>
    <row r="162" spans="2:3">
      <c r="B162" s="8"/>
      <c r="C162" s="8"/>
    </row>
    <row r="163" spans="2:3">
      <c r="B163" s="8"/>
      <c r="C163" s="8"/>
    </row>
    <row r="164" spans="2:3">
      <c r="B164" s="8"/>
      <c r="C164" s="8"/>
    </row>
    <row r="165" spans="2:3">
      <c r="B165" s="8"/>
      <c r="C165" s="8"/>
    </row>
    <row r="166" spans="2:3">
      <c r="B166" s="8"/>
      <c r="C166" s="8"/>
    </row>
    <row r="167" spans="2:3">
      <c r="B167" s="8"/>
      <c r="C167" s="8"/>
    </row>
    <row r="168" spans="2:3">
      <c r="B168" s="8"/>
      <c r="C168" s="8"/>
    </row>
    <row r="169" spans="2:3">
      <c r="B169" s="8"/>
      <c r="C169" s="8"/>
    </row>
    <row r="170" spans="2:3">
      <c r="B170" s="8"/>
      <c r="C170" s="8"/>
    </row>
    <row r="171" spans="2:3">
      <c r="B171" s="8"/>
      <c r="C171" s="8"/>
    </row>
    <row r="172" spans="2:3">
      <c r="B172" s="8"/>
      <c r="C172" s="8"/>
    </row>
    <row r="173" spans="2:3">
      <c r="B173" s="8"/>
      <c r="C173" s="8"/>
    </row>
    <row r="174" spans="2:3">
      <c r="B174" s="8"/>
      <c r="C174" s="8"/>
    </row>
    <row r="175" spans="2:3">
      <c r="B175" s="8"/>
      <c r="C175" s="8"/>
    </row>
    <row r="176" spans="2:3">
      <c r="B176" s="8"/>
      <c r="C176" s="8"/>
    </row>
    <row r="177" spans="2:3">
      <c r="B177" s="8"/>
      <c r="C177" s="8"/>
    </row>
    <row r="178" spans="2:3">
      <c r="B178" s="8"/>
      <c r="C178" s="8"/>
    </row>
    <row r="179" spans="2:3">
      <c r="B179" s="8"/>
      <c r="C179" s="8"/>
    </row>
    <row r="180" spans="2:3">
      <c r="B180" s="8"/>
      <c r="C180" s="8"/>
    </row>
    <row r="181" spans="2:3">
      <c r="B181" s="8"/>
      <c r="C181" s="8"/>
    </row>
    <row r="182" spans="2:3">
      <c r="B182" s="8"/>
      <c r="C182" s="8"/>
    </row>
    <row r="183" spans="2:3">
      <c r="B183" s="8"/>
      <c r="C183" s="8"/>
    </row>
    <row r="184" spans="2:3">
      <c r="B184" s="8"/>
      <c r="C184" s="8"/>
    </row>
    <row r="185" spans="2:3">
      <c r="B185" s="8"/>
      <c r="C185" s="8"/>
    </row>
    <row r="186" spans="2:3">
      <c r="B186" s="8"/>
      <c r="C186" s="8"/>
    </row>
    <row r="187" spans="2:3">
      <c r="B187" s="8"/>
      <c r="C187" s="8"/>
    </row>
    <row r="188" spans="2:3">
      <c r="B188" s="8"/>
      <c r="C188" s="8"/>
    </row>
    <row r="189" spans="2:3">
      <c r="B189" s="8"/>
      <c r="C189" s="8"/>
    </row>
    <row r="190" spans="2:3">
      <c r="B190" s="8"/>
      <c r="C190" s="8"/>
    </row>
    <row r="191" spans="2:3">
      <c r="B191" s="8"/>
      <c r="C191" s="8"/>
    </row>
    <row r="192" spans="2:3">
      <c r="B192" s="8"/>
      <c r="C192" s="8"/>
    </row>
    <row r="193" spans="2:3">
      <c r="B193" s="8"/>
      <c r="C193" s="8"/>
    </row>
    <row r="194" spans="2:3">
      <c r="B194" s="8"/>
      <c r="C194" s="8"/>
    </row>
    <row r="195" spans="2:3">
      <c r="B195" s="8"/>
      <c r="C195" s="8"/>
    </row>
    <row r="196" spans="2:3">
      <c r="B196" s="8"/>
      <c r="C196" s="8"/>
    </row>
    <row r="197" spans="2:3">
      <c r="B197" s="8"/>
      <c r="C197" s="8"/>
    </row>
    <row r="198" spans="2:3">
      <c r="B198" s="8"/>
      <c r="C198" s="8"/>
    </row>
    <row r="199" spans="2:3">
      <c r="B199" s="8"/>
      <c r="C199" s="8"/>
    </row>
    <row r="200" spans="2:3">
      <c r="B200" s="8"/>
      <c r="C200" s="8"/>
    </row>
    <row r="201" spans="2:3">
      <c r="B201" s="8"/>
      <c r="C201" s="8"/>
    </row>
    <row r="202" spans="2:3">
      <c r="B202" s="8"/>
      <c r="C202" s="8"/>
    </row>
    <row r="203" spans="2:3">
      <c r="B203" s="8"/>
      <c r="C203" s="8"/>
    </row>
    <row r="204" spans="2:3">
      <c r="B204" s="8"/>
      <c r="C204" s="8"/>
    </row>
    <row r="205" spans="2:3">
      <c r="B205" s="8"/>
      <c r="C205" s="8"/>
    </row>
    <row r="206" spans="2:3">
      <c r="B206" s="8"/>
      <c r="C206" s="8"/>
    </row>
  </sheetData>
  <mergeCells count="3">
    <mergeCell ref="B24:J24"/>
    <mergeCell ref="B44:V44"/>
    <mergeCell ref="B22:J2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23"/>
  <sheetViews>
    <sheetView zoomScaleNormal="100" workbookViewId="0">
      <selection activeCell="A6" sqref="A6"/>
    </sheetView>
  </sheetViews>
  <sheetFormatPr defaultColWidth="9" defaultRowHeight="12"/>
  <cols>
    <col min="1" max="1" width="2.6328125" style="3" customWidth="1"/>
    <col min="2" max="2" width="6.36328125" style="3" customWidth="1"/>
    <col min="3" max="5" width="8.6328125" style="3" customWidth="1"/>
    <col min="6" max="6" width="2.6328125" style="3" customWidth="1"/>
    <col min="7" max="9" width="8.6328125" style="3" customWidth="1"/>
    <col min="10" max="10" width="2.6328125" style="3" customWidth="1"/>
    <col min="11" max="13" width="8.6328125" style="3" customWidth="1"/>
    <col min="14" max="14" width="1.6328125" style="3" customWidth="1"/>
    <col min="15" max="15" width="10" style="3" customWidth="1"/>
    <col min="16" max="17" width="9.08984375" style="3" bestFit="1" customWidth="1"/>
    <col min="18" max="18" width="10.36328125" style="3" customWidth="1"/>
    <col min="19" max="16384" width="9" style="3"/>
  </cols>
  <sheetData>
    <row r="2" spans="2:18">
      <c r="B2" s="92" t="s">
        <v>79</v>
      </c>
    </row>
    <row r="3" spans="2:18">
      <c r="B3" s="3" t="s">
        <v>3</v>
      </c>
      <c r="D3" s="32">
        <v>5000000</v>
      </c>
    </row>
    <row r="4" spans="2:18">
      <c r="B4" s="3" t="s">
        <v>4</v>
      </c>
      <c r="D4" s="24">
        <v>0.05</v>
      </c>
      <c r="F4" s="14"/>
    </row>
    <row r="5" spans="2:18">
      <c r="E5" s="33"/>
      <c r="F5" s="14"/>
    </row>
    <row r="6" spans="2:18" ht="12.5" thickBot="1">
      <c r="B6" s="366" t="s">
        <v>181</v>
      </c>
      <c r="C6" s="366"/>
      <c r="D6" s="366"/>
      <c r="E6" s="366"/>
      <c r="F6" s="366"/>
      <c r="G6" s="366"/>
      <c r="H6" s="366"/>
      <c r="I6" s="366"/>
      <c r="J6" s="366"/>
      <c r="K6" s="366"/>
      <c r="L6" s="366"/>
      <c r="M6" s="366"/>
      <c r="N6" s="366"/>
      <c r="O6" s="196"/>
      <c r="P6" s="196"/>
      <c r="Q6" s="196"/>
      <c r="R6" s="196"/>
    </row>
    <row r="7" spans="2:18" ht="15" customHeight="1" thickTop="1" thickBot="1">
      <c r="B7" s="363" t="s">
        <v>125</v>
      </c>
      <c r="C7" s="364"/>
      <c r="D7" s="364"/>
      <c r="E7" s="364"/>
      <c r="F7" s="364"/>
      <c r="G7" s="364"/>
      <c r="H7" s="364"/>
      <c r="I7" s="364"/>
      <c r="J7" s="364"/>
      <c r="K7" s="364"/>
      <c r="L7" s="364"/>
      <c r="M7" s="364"/>
      <c r="N7" s="365"/>
      <c r="O7" s="197"/>
      <c r="P7" s="197"/>
      <c r="Q7" s="197"/>
      <c r="R7" s="197"/>
    </row>
    <row r="8" spans="2:18" ht="12" customHeight="1" thickTop="1">
      <c r="B8" s="206"/>
      <c r="C8" s="174"/>
      <c r="D8" s="174"/>
      <c r="E8" s="174"/>
      <c r="F8" s="174"/>
      <c r="G8" s="174"/>
      <c r="H8" s="174"/>
      <c r="I8" s="174"/>
      <c r="J8" s="174"/>
      <c r="K8" s="174"/>
      <c r="L8" s="174"/>
      <c r="M8" s="174"/>
      <c r="N8" s="207"/>
      <c r="O8" s="197"/>
      <c r="P8" s="197"/>
      <c r="Q8" s="197"/>
      <c r="R8" s="197"/>
    </row>
    <row r="9" spans="2:18">
      <c r="B9" s="195"/>
      <c r="C9" s="381">
        <v>10</v>
      </c>
      <c r="D9" s="381"/>
      <c r="E9" s="381"/>
      <c r="F9" s="203"/>
      <c r="G9" s="381">
        <v>20</v>
      </c>
      <c r="H9" s="381"/>
      <c r="I9" s="381"/>
      <c r="J9" s="203"/>
      <c r="K9" s="381">
        <v>30</v>
      </c>
      <c r="L9" s="381"/>
      <c r="M9" s="381"/>
      <c r="N9" s="208"/>
      <c r="O9" s="198"/>
      <c r="P9" s="266"/>
      <c r="Q9" s="266"/>
      <c r="R9" s="266"/>
    </row>
    <row r="10" spans="2:18">
      <c r="B10" s="195"/>
      <c r="C10" s="203"/>
      <c r="D10" s="203"/>
      <c r="E10" s="203"/>
      <c r="F10" s="203"/>
      <c r="G10" s="203"/>
      <c r="H10" s="203"/>
      <c r="I10" s="203"/>
      <c r="J10" s="203"/>
      <c r="K10" s="203"/>
      <c r="L10" s="203"/>
      <c r="M10" s="203"/>
      <c r="N10" s="208"/>
      <c r="O10" s="198"/>
      <c r="P10" s="264"/>
      <c r="Q10" s="264"/>
      <c r="R10" s="264"/>
    </row>
    <row r="11" spans="2:18">
      <c r="B11" s="195"/>
      <c r="C11" s="379" t="s">
        <v>5</v>
      </c>
      <c r="D11" s="379" t="s">
        <v>6</v>
      </c>
      <c r="E11" s="379" t="s">
        <v>7</v>
      </c>
      <c r="F11" s="204"/>
      <c r="G11" s="379" t="s">
        <v>5</v>
      </c>
      <c r="H11" s="379" t="s">
        <v>6</v>
      </c>
      <c r="I11" s="379" t="s">
        <v>7</v>
      </c>
      <c r="J11" s="204"/>
      <c r="K11" s="379" t="s">
        <v>5</v>
      </c>
      <c r="L11" s="379" t="s">
        <v>6</v>
      </c>
      <c r="M11" s="379" t="s">
        <v>7</v>
      </c>
      <c r="N11" s="209"/>
      <c r="O11" s="199"/>
      <c r="P11" s="267"/>
      <c r="Q11" s="267"/>
      <c r="R11" s="267"/>
    </row>
    <row r="12" spans="2:18">
      <c r="B12" s="210" t="s">
        <v>1</v>
      </c>
      <c r="C12" s="380"/>
      <c r="D12" s="380"/>
      <c r="E12" s="380"/>
      <c r="F12" s="202"/>
      <c r="G12" s="380"/>
      <c r="H12" s="380"/>
      <c r="I12" s="380"/>
      <c r="J12" s="202"/>
      <c r="K12" s="380"/>
      <c r="L12" s="380"/>
      <c r="M12" s="380"/>
      <c r="N12" s="211"/>
      <c r="O12" s="200"/>
      <c r="P12" s="200"/>
      <c r="Q12" s="200"/>
      <c r="R12" s="200"/>
    </row>
    <row r="13" spans="2:18">
      <c r="B13" s="210"/>
      <c r="C13" s="202"/>
      <c r="D13" s="202"/>
      <c r="E13" s="202"/>
      <c r="F13" s="202"/>
      <c r="G13" s="202"/>
      <c r="H13" s="202"/>
      <c r="I13" s="202"/>
      <c r="J13" s="202"/>
      <c r="K13" s="202"/>
      <c r="L13" s="202"/>
      <c r="M13" s="202"/>
      <c r="N13" s="211"/>
      <c r="O13" s="200"/>
      <c r="P13" s="200"/>
      <c r="Q13" s="200"/>
      <c r="R13" s="200"/>
    </row>
    <row r="14" spans="2:18">
      <c r="B14" s="210">
        <v>1</v>
      </c>
      <c r="C14" s="205">
        <f>+$D$4*$D$3</f>
        <v>250000</v>
      </c>
      <c r="D14" s="205">
        <f>-PMT($D$4,C$9,$D$3)-C14</f>
        <v>397522.87482728332</v>
      </c>
      <c r="E14" s="205">
        <f>+$D$3-D14</f>
        <v>4602477.1251727166</v>
      </c>
      <c r="F14" s="205"/>
      <c r="G14" s="360"/>
      <c r="H14" s="360"/>
      <c r="I14" s="360"/>
      <c r="J14" s="205"/>
      <c r="K14" s="360"/>
      <c r="L14" s="360"/>
      <c r="M14" s="360"/>
      <c r="N14" s="212"/>
      <c r="O14" s="201"/>
      <c r="P14" s="201"/>
      <c r="Q14" s="265"/>
      <c r="R14" s="201"/>
    </row>
    <row r="15" spans="2:18">
      <c r="B15" s="210">
        <f t="shared" ref="B15:B20" si="0">+B14+1</f>
        <v>2</v>
      </c>
      <c r="C15" s="205">
        <f t="shared" ref="C15:C20" si="1">+$D$4*E14</f>
        <v>230123.85625863585</v>
      </c>
      <c r="D15" s="205">
        <f t="shared" ref="D15:D20" si="2">-PMT($D$4,$C$9,$D$3)-C15</f>
        <v>417399.01856864744</v>
      </c>
      <c r="E15" s="205">
        <f t="shared" ref="E15:E20" si="3">+E14-D15</f>
        <v>4185078.106604069</v>
      </c>
      <c r="F15" s="205"/>
      <c r="G15" s="360"/>
      <c r="H15" s="360"/>
      <c r="I15" s="360"/>
      <c r="J15" s="205"/>
      <c r="K15" s="360"/>
      <c r="L15" s="360"/>
      <c r="M15" s="360"/>
      <c r="N15" s="212"/>
      <c r="O15" s="201"/>
      <c r="P15" s="201"/>
      <c r="Q15" s="265"/>
      <c r="R15" s="201"/>
    </row>
    <row r="16" spans="2:18">
      <c r="B16" s="210">
        <f t="shared" si="0"/>
        <v>3</v>
      </c>
      <c r="C16" s="205">
        <f t="shared" si="1"/>
        <v>209253.90533020347</v>
      </c>
      <c r="D16" s="205">
        <f t="shared" si="2"/>
        <v>438268.96949707984</v>
      </c>
      <c r="E16" s="205">
        <f t="shared" si="3"/>
        <v>3746809.137106989</v>
      </c>
      <c r="F16" s="205"/>
      <c r="G16" s="360"/>
      <c r="H16" s="360"/>
      <c r="I16" s="360"/>
      <c r="J16" s="205"/>
      <c r="K16" s="360"/>
      <c r="L16" s="360"/>
      <c r="M16" s="360"/>
      <c r="N16" s="212"/>
      <c r="O16" s="201"/>
      <c r="P16" s="201"/>
      <c r="Q16" s="265"/>
      <c r="R16" s="201"/>
    </row>
    <row r="17" spans="2:18">
      <c r="B17" s="210">
        <f t="shared" si="0"/>
        <v>4</v>
      </c>
      <c r="C17" s="205">
        <f t="shared" si="1"/>
        <v>187340.45685534948</v>
      </c>
      <c r="D17" s="205">
        <f t="shared" si="2"/>
        <v>460182.41797193384</v>
      </c>
      <c r="E17" s="205">
        <f t="shared" si="3"/>
        <v>3286626.7191350553</v>
      </c>
      <c r="F17" s="205"/>
      <c r="G17" s="360"/>
      <c r="H17" s="360"/>
      <c r="I17" s="360"/>
      <c r="J17" s="205"/>
      <c r="K17" s="360"/>
      <c r="L17" s="360"/>
      <c r="M17" s="360"/>
      <c r="N17" s="212"/>
      <c r="O17" s="201"/>
      <c r="P17" s="201"/>
      <c r="Q17" s="265"/>
      <c r="R17" s="201"/>
    </row>
    <row r="18" spans="2:18">
      <c r="B18" s="210">
        <f t="shared" si="0"/>
        <v>5</v>
      </c>
      <c r="C18" s="205">
        <f t="shared" si="1"/>
        <v>164331.33595675277</v>
      </c>
      <c r="D18" s="205">
        <f t="shared" si="2"/>
        <v>483191.53887053055</v>
      </c>
      <c r="E18" s="205">
        <f t="shared" si="3"/>
        <v>2803435.1802645246</v>
      </c>
      <c r="F18" s="205"/>
      <c r="G18" s="360"/>
      <c r="H18" s="360"/>
      <c r="I18" s="360"/>
      <c r="J18" s="205"/>
      <c r="K18" s="360"/>
      <c r="L18" s="360"/>
      <c r="M18" s="360"/>
      <c r="N18" s="212"/>
      <c r="O18" s="201"/>
      <c r="P18" s="201"/>
      <c r="Q18" s="265"/>
      <c r="R18" s="201"/>
    </row>
    <row r="19" spans="2:18">
      <c r="B19" s="210">
        <f t="shared" si="0"/>
        <v>6</v>
      </c>
      <c r="C19" s="205">
        <f t="shared" si="1"/>
        <v>140171.75901322623</v>
      </c>
      <c r="D19" s="205">
        <f t="shared" si="2"/>
        <v>507351.11581405706</v>
      </c>
      <c r="E19" s="205">
        <f t="shared" si="3"/>
        <v>2296084.0644504675</v>
      </c>
      <c r="F19" s="205"/>
      <c r="G19" s="360"/>
      <c r="H19" s="360"/>
      <c r="I19" s="360"/>
      <c r="J19" s="205"/>
      <c r="K19" s="360"/>
      <c r="L19" s="360"/>
      <c r="M19" s="360"/>
      <c r="N19" s="212"/>
      <c r="O19" s="201"/>
      <c r="P19" s="201"/>
      <c r="Q19" s="265"/>
      <c r="R19" s="201"/>
    </row>
    <row r="20" spans="2:18" ht="20.25" customHeight="1" thickBot="1">
      <c r="B20" s="213">
        <f t="shared" si="0"/>
        <v>7</v>
      </c>
      <c r="C20" s="214">
        <f t="shared" si="1"/>
        <v>114804.20322252339</v>
      </c>
      <c r="D20" s="214">
        <f t="shared" si="2"/>
        <v>532718.67160475999</v>
      </c>
      <c r="E20" s="214">
        <f t="shared" si="3"/>
        <v>1763365.3928457075</v>
      </c>
      <c r="F20" s="214"/>
      <c r="G20" s="361"/>
      <c r="H20" s="361"/>
      <c r="I20" s="361"/>
      <c r="J20" s="214"/>
      <c r="K20" s="361"/>
      <c r="L20" s="361"/>
      <c r="M20" s="361"/>
      <c r="N20" s="215"/>
      <c r="O20" s="201"/>
      <c r="P20" s="201"/>
      <c r="Q20" s="265"/>
      <c r="R20" s="201"/>
    </row>
    <row r="21" spans="2:18" ht="12.5" thickTop="1">
      <c r="N21" s="196"/>
      <c r="O21" s="196"/>
      <c r="P21" s="196"/>
      <c r="Q21" s="196"/>
      <c r="R21" s="196"/>
    </row>
    <row r="22" spans="2:18">
      <c r="N22" s="196"/>
      <c r="O22" s="196"/>
      <c r="P22" s="196"/>
      <c r="Q22" s="196"/>
      <c r="R22" s="196"/>
    </row>
    <row r="23" spans="2:18">
      <c r="N23" s="196"/>
      <c r="O23" s="196"/>
      <c r="P23" s="196"/>
      <c r="Q23" s="196"/>
      <c r="R23" s="196"/>
    </row>
  </sheetData>
  <mergeCells count="14">
    <mergeCell ref="G11:G12"/>
    <mergeCell ref="H11:H12"/>
    <mergeCell ref="I11:I12"/>
    <mergeCell ref="K11:K12"/>
    <mergeCell ref="B6:N6"/>
    <mergeCell ref="C11:C12"/>
    <mergeCell ref="B7:N7"/>
    <mergeCell ref="C9:E9"/>
    <mergeCell ref="G9:I9"/>
    <mergeCell ref="K9:M9"/>
    <mergeCell ref="D11:D12"/>
    <mergeCell ref="L11:L12"/>
    <mergeCell ref="M11:M12"/>
    <mergeCell ref="E11:E12"/>
  </mergeCells>
  <phoneticPr fontId="2" type="noConversion"/>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72382-7830-4146-A5CB-5B2D6670D00A}">
  <dimension ref="B1:K60"/>
  <sheetViews>
    <sheetView topLeftCell="A19" zoomScaleNormal="100" workbookViewId="0">
      <selection activeCell="A38" sqref="A38"/>
    </sheetView>
  </sheetViews>
  <sheetFormatPr defaultColWidth="9" defaultRowHeight="12" outlineLevelRow="1" outlineLevelCol="1"/>
  <cols>
    <col min="1" max="1" width="2.6328125" style="3" customWidth="1"/>
    <col min="2" max="2" width="23" style="3" customWidth="1"/>
    <col min="3" max="3" width="9.7265625" style="3" customWidth="1" outlineLevel="1"/>
    <col min="4" max="9" width="7.6328125" style="3" customWidth="1"/>
    <col min="10" max="10" width="8.6328125" style="3" customWidth="1"/>
    <col min="11" max="11" width="1.6328125" style="3" customWidth="1"/>
    <col min="12" max="16384" width="9" style="3"/>
  </cols>
  <sheetData>
    <row r="1" spans="2:10">
      <c r="B1" s="26"/>
      <c r="C1" s="26"/>
      <c r="D1" s="25" t="s">
        <v>85</v>
      </c>
    </row>
    <row r="2" spans="2:10">
      <c r="B2" s="92" t="str">
        <f>'Fig PIII.1'!B2</f>
        <v>Assumptions:</v>
      </c>
      <c r="C2" s="92"/>
      <c r="D2" s="67"/>
      <c r="E2" s="67"/>
      <c r="F2" s="67"/>
      <c r="G2" s="67"/>
      <c r="H2" s="67"/>
      <c r="I2" s="67"/>
      <c r="J2" s="67"/>
    </row>
    <row r="3" spans="2:10">
      <c r="B3" s="67" t="str">
        <f>'Fig PIII.1'!B3</f>
        <v>Acquisition Cost</v>
      </c>
      <c r="C3" s="67"/>
      <c r="D3" s="67"/>
      <c r="E3" s="67"/>
      <c r="F3" s="270">
        <f>'Fig PIII.1'!D3</f>
        <v>6700000</v>
      </c>
      <c r="G3" s="67"/>
      <c r="H3" s="67" t="str">
        <f>'Fig PIII.1'!F3</f>
        <v>Capital Gains Tax Rate</v>
      </c>
      <c r="I3" s="67"/>
      <c r="J3" s="94">
        <f>'Fig PIII.1'!I3</f>
        <v>0.15</v>
      </c>
    </row>
    <row r="4" spans="2:10">
      <c r="B4" s="67" t="str">
        <f>'Fig PIII.1'!B4</f>
        <v>First Mortgage Loan Amount</v>
      </c>
      <c r="C4" s="67"/>
      <c r="D4" s="67"/>
      <c r="E4" s="67"/>
      <c r="F4" s="270">
        <f>'Fig PIII.1'!D4</f>
        <v>5000000</v>
      </c>
      <c r="G4" s="67"/>
      <c r="H4" s="67" t="str">
        <f>'Fig PIII.1'!F4</f>
        <v>Ordinary Income Tax Rate</v>
      </c>
      <c r="I4" s="67"/>
      <c r="J4" s="94">
        <f>'Fig PIII.1'!I4</f>
        <v>0.21</v>
      </c>
    </row>
    <row r="5" spans="2:10">
      <c r="B5" s="67" t="str">
        <f>'Fig PIII.1'!B5</f>
        <v>Equity Investment</v>
      </c>
      <c r="C5" s="67"/>
      <c r="D5" s="67"/>
      <c r="E5" s="67"/>
      <c r="F5" s="270">
        <f>'Fig PIII.1'!D5</f>
        <v>1700000</v>
      </c>
      <c r="G5" s="67"/>
      <c r="H5" s="67" t="str">
        <f>'Fig PIII.1'!F5</f>
        <v>Tax Rate on Accumulated Depreciation</v>
      </c>
      <c r="I5" s="67"/>
      <c r="J5" s="94">
        <f>'Fig PIII.1'!I5</f>
        <v>0.25</v>
      </c>
    </row>
    <row r="6" spans="2:10">
      <c r="B6" s="67"/>
      <c r="C6" s="67"/>
      <c r="D6" s="67"/>
      <c r="E6" s="67"/>
      <c r="F6" s="67"/>
      <c r="G6" s="67"/>
      <c r="H6" s="67" t="str">
        <f>'Fig PIII.1'!F6</f>
        <v>Implied Land Value</v>
      </c>
      <c r="I6" s="67"/>
      <c r="J6" s="93">
        <f>'Fig PIII.1'!I6</f>
        <v>1150000</v>
      </c>
    </row>
    <row r="7" spans="2:10">
      <c r="B7" s="67" t="str">
        <f>'Fig PIII.1'!B7</f>
        <v>First Mortgage Interest Rate (%)</v>
      </c>
      <c r="C7" s="67"/>
      <c r="D7" s="67"/>
      <c r="E7" s="67"/>
      <c r="F7" s="94">
        <f>'Fig PIII.1'!D7</f>
        <v>0.05</v>
      </c>
      <c r="G7" s="67"/>
      <c r="H7" s="67" t="str">
        <f>'Fig PIII.1'!F7</f>
        <v>Depreciable Basis</v>
      </c>
      <c r="I7" s="67"/>
      <c r="J7" s="93">
        <f>'Fig PIII.1'!I7</f>
        <v>5550000</v>
      </c>
    </row>
    <row r="8" spans="2:10">
      <c r="B8" s="67" t="str">
        <f>'Fig PIII.1'!B8</f>
        <v>Amortization Term (Years)</v>
      </c>
      <c r="C8" s="67"/>
      <c r="D8" s="67"/>
      <c r="E8" s="67"/>
      <c r="F8" s="22">
        <v>20</v>
      </c>
      <c r="G8" s="67"/>
      <c r="H8" s="67" t="str">
        <f>'Fig PIII.1'!F8</f>
        <v>Depreciable Life (in Years)</v>
      </c>
      <c r="I8" s="67"/>
      <c r="J8" s="67">
        <f>'Fig PIII.1'!I8</f>
        <v>27.5</v>
      </c>
    </row>
    <row r="9" spans="2:10">
      <c r="B9" s="67" t="str">
        <f>'Fig PIII.1'!B9</f>
        <v>First Mortgage Annual Debt Payment (annual payments)</v>
      </c>
      <c r="C9" s="67"/>
      <c r="D9" s="67"/>
      <c r="E9" s="67"/>
      <c r="F9" s="93">
        <f>-PMT(F7,F8,F4)</f>
        <v>401212.93595345656</v>
      </c>
      <c r="G9" s="67"/>
      <c r="H9" s="67"/>
      <c r="I9" s="67"/>
      <c r="J9" s="67"/>
    </row>
    <row r="10" spans="2:10">
      <c r="B10" s="67" t="str">
        <f>'Fig PIII.1'!B10</f>
        <v>Loan Points</v>
      </c>
      <c r="C10" s="67"/>
      <c r="D10" s="67"/>
      <c r="E10" s="67"/>
      <c r="F10" s="94">
        <f>'Fig PIII.1'!D10</f>
        <v>0</v>
      </c>
      <c r="G10" s="67"/>
      <c r="H10" s="67" t="str">
        <f>'Fig PIII.1'!F10</f>
        <v>Discount Rate</v>
      </c>
      <c r="I10" s="67"/>
      <c r="J10" s="94">
        <f>'Fig PIII.1'!I10</f>
        <v>0.1</v>
      </c>
    </row>
    <row r="11" spans="2:10">
      <c r="B11" s="67" t="str">
        <f>'Fig PIII.1'!B11</f>
        <v>Years of Loan Points Amortization</v>
      </c>
      <c r="C11" s="67"/>
      <c r="D11" s="67"/>
      <c r="E11" s="67"/>
      <c r="F11" s="95">
        <f>'Fig PIII.1'!D11</f>
        <v>7</v>
      </c>
      <c r="G11" s="67"/>
      <c r="H11" s="67"/>
      <c r="I11" s="67"/>
      <c r="J11" s="67"/>
    </row>
    <row r="12" spans="2:10">
      <c r="B12" s="67"/>
      <c r="C12" s="67"/>
      <c r="D12" s="67"/>
      <c r="E12" s="67"/>
      <c r="F12" s="67"/>
      <c r="G12" s="67"/>
      <c r="H12" s="67"/>
      <c r="I12" s="67"/>
      <c r="J12" s="67"/>
    </row>
    <row r="13" spans="2:10">
      <c r="B13" s="67" t="str">
        <f>'Fig PIII.1'!B13</f>
        <v>1st Year Base Rent Revenues</v>
      </c>
      <c r="C13" s="67"/>
      <c r="D13" s="67"/>
      <c r="E13" s="67"/>
      <c r="F13" s="270">
        <f>'Fig PIII.1'!D13</f>
        <v>1000000</v>
      </c>
      <c r="G13" s="67"/>
      <c r="H13" s="67"/>
      <c r="I13" s="67"/>
      <c r="J13" s="67"/>
    </row>
    <row r="14" spans="2:10">
      <c r="B14" s="67" t="str">
        <f>'Fig PIII.1'!B14</f>
        <v>Base Rent Annual Increase</v>
      </c>
      <c r="C14" s="67"/>
      <c r="D14" s="67"/>
      <c r="E14" s="67"/>
      <c r="F14" s="94">
        <f>'Fig PIII.1'!D14</f>
        <v>0.03</v>
      </c>
      <c r="G14" s="67"/>
      <c r="H14" s="67"/>
      <c r="I14" s="67"/>
      <c r="J14" s="67"/>
    </row>
    <row r="15" spans="2:10">
      <c r="B15" s="67" t="str">
        <f>'Fig PIII.1'!B15</f>
        <v>Projected Vacancy</v>
      </c>
      <c r="C15" s="67"/>
      <c r="D15" s="67"/>
      <c r="E15" s="67"/>
      <c r="F15" s="94">
        <f>'Fig PIII.1'!D15</f>
        <v>0.05</v>
      </c>
      <c r="G15" s="67"/>
      <c r="H15" s="67"/>
      <c r="I15" s="67"/>
      <c r="J15" s="67"/>
    </row>
    <row r="16" spans="2:10">
      <c r="B16" s="67" t="str">
        <f>'Fig PIII.1'!B16</f>
        <v>Annual Operating Expense Increase</v>
      </c>
      <c r="C16" s="67"/>
      <c r="D16" s="67"/>
      <c r="E16" s="67"/>
      <c r="F16" s="94">
        <f>'Fig PIII.1'!D16</f>
        <v>0.05</v>
      </c>
      <c r="G16" s="67"/>
      <c r="H16" s="67"/>
      <c r="I16" s="67"/>
      <c r="J16" s="67"/>
    </row>
    <row r="17" spans="2:11">
      <c r="B17" s="67" t="str">
        <f>'Fig PIII.1'!B17</f>
        <v>First Year RE Taxes as % of gross rent roll</v>
      </c>
      <c r="C17" s="67"/>
      <c r="D17" s="67"/>
      <c r="E17" s="67"/>
      <c r="F17" s="94">
        <f>'Fig PIII.1'!D17</f>
        <v>0.14000000000000001</v>
      </c>
      <c r="G17" s="67"/>
      <c r="H17" s="67"/>
      <c r="I17" s="67"/>
      <c r="J17" s="67"/>
    </row>
    <row r="18" spans="2:11">
      <c r="B18" s="67" t="str">
        <f>'Fig PIII.1'!B18</f>
        <v>Annual Real Estate Tax Increase</v>
      </c>
      <c r="C18" s="67"/>
      <c r="D18" s="67"/>
      <c r="E18" s="67"/>
      <c r="F18" s="94">
        <f>'Fig PIII.1'!D18</f>
        <v>0.03</v>
      </c>
      <c r="G18" s="67"/>
      <c r="H18" s="67"/>
      <c r="I18" s="67"/>
      <c r="J18" s="67"/>
    </row>
    <row r="19" spans="2:11">
      <c r="B19" s="67" t="str">
        <f>'Fig PIII.1'!B19</f>
        <v>Replacement Reserve</v>
      </c>
      <c r="C19" s="67"/>
      <c r="D19" s="67"/>
      <c r="E19" s="67"/>
      <c r="F19" s="94">
        <f>'Fig PIII.1'!D19</f>
        <v>4.4999999999999998E-2</v>
      </c>
      <c r="G19" s="67"/>
      <c r="H19" s="67"/>
      <c r="I19" s="67"/>
      <c r="J19" s="67"/>
    </row>
    <row r="20" spans="2:11">
      <c r="B20" s="67" t="str">
        <f>'Fig PIII.1'!B20</f>
        <v>Going-Out Capitalization Rate</v>
      </c>
      <c r="C20" s="67"/>
      <c r="D20" s="67"/>
      <c r="E20" s="67"/>
      <c r="F20" s="94">
        <f>'Fig PIII.1'!D20</f>
        <v>0.08</v>
      </c>
      <c r="G20" s="67"/>
      <c r="H20" s="67"/>
      <c r="I20" s="67"/>
      <c r="J20" s="67"/>
    </row>
    <row r="21" spans="2:11">
      <c r="B21" s="67" t="str">
        <f>'Fig PIII.1'!B21</f>
        <v>Selling Costs</v>
      </c>
      <c r="C21" s="67"/>
      <c r="D21" s="67"/>
      <c r="E21" s="67"/>
      <c r="F21" s="94">
        <f>'Fig PIII.1'!D21</f>
        <v>0.02</v>
      </c>
      <c r="G21" s="67"/>
      <c r="H21" s="67"/>
      <c r="I21" s="67"/>
      <c r="J21" s="67"/>
    </row>
    <row r="22" spans="2:11" ht="12" customHeight="1"/>
    <row r="23" spans="2:11">
      <c r="B23" s="28"/>
      <c r="C23" s="28"/>
      <c r="D23" s="368" t="s">
        <v>105</v>
      </c>
      <c r="E23" s="368"/>
      <c r="F23" s="368"/>
      <c r="G23" s="368"/>
      <c r="H23" s="368"/>
      <c r="I23" s="368"/>
      <c r="J23" s="368"/>
      <c r="K23" s="368"/>
    </row>
    <row r="24" spans="2:11">
      <c r="B24" s="28"/>
      <c r="C24" s="28"/>
      <c r="D24" s="124">
        <v>1</v>
      </c>
      <c r="E24" s="124">
        <v>2</v>
      </c>
      <c r="F24" s="124">
        <v>3</v>
      </c>
      <c r="G24" s="124">
        <v>4</v>
      </c>
      <c r="H24" s="124">
        <v>5</v>
      </c>
      <c r="I24" s="124">
        <v>6</v>
      </c>
      <c r="J24" s="124">
        <v>7</v>
      </c>
      <c r="K24" s="124">
        <v>8</v>
      </c>
    </row>
    <row r="25" spans="2:11">
      <c r="B25" s="28"/>
      <c r="C25" s="28"/>
      <c r="D25" s="28"/>
      <c r="E25" s="28"/>
      <c r="F25" s="28"/>
      <c r="G25" s="28"/>
      <c r="H25" s="28"/>
      <c r="I25" s="28"/>
      <c r="J25" s="28"/>
      <c r="K25" s="28"/>
    </row>
    <row r="26" spans="2:11">
      <c r="B26" s="121" t="s">
        <v>27</v>
      </c>
      <c r="C26" s="121"/>
      <c r="D26" s="125">
        <f>F13</f>
        <v>1000000</v>
      </c>
      <c r="E26" s="126">
        <f>D26*(1+$F$14)</f>
        <v>1030000</v>
      </c>
      <c r="F26" s="126">
        <f t="shared" ref="F26:K26" si="0">E26*(1+$F$14)</f>
        <v>1060900</v>
      </c>
      <c r="G26" s="126">
        <f t="shared" si="0"/>
        <v>1092727</v>
      </c>
      <c r="H26" s="126">
        <f t="shared" si="0"/>
        <v>1125508.81</v>
      </c>
      <c r="I26" s="126">
        <f t="shared" si="0"/>
        <v>1159274.0743</v>
      </c>
      <c r="J26" s="126">
        <f t="shared" si="0"/>
        <v>1194052.2965289999</v>
      </c>
      <c r="K26" s="126">
        <f t="shared" si="0"/>
        <v>1229873.86542487</v>
      </c>
    </row>
    <row r="27" spans="2:11">
      <c r="B27" s="122" t="s">
        <v>28</v>
      </c>
      <c r="C27" s="122"/>
      <c r="D27" s="127">
        <v>0</v>
      </c>
      <c r="E27" s="127">
        <v>0</v>
      </c>
      <c r="F27" s="127">
        <v>0</v>
      </c>
      <c r="G27" s="127">
        <v>0</v>
      </c>
      <c r="H27" s="127">
        <v>0</v>
      </c>
      <c r="I27" s="127">
        <v>0</v>
      </c>
      <c r="J27" s="127">
        <v>0</v>
      </c>
      <c r="K27" s="127">
        <v>0</v>
      </c>
    </row>
    <row r="28" spans="2:11">
      <c r="B28" s="121" t="s">
        <v>29</v>
      </c>
      <c r="C28" s="121"/>
      <c r="D28" s="126">
        <f t="shared" ref="D28:K28" si="1">D26+D27</f>
        <v>1000000</v>
      </c>
      <c r="E28" s="126">
        <f t="shared" si="1"/>
        <v>1030000</v>
      </c>
      <c r="F28" s="126">
        <f t="shared" si="1"/>
        <v>1060900</v>
      </c>
      <c r="G28" s="126">
        <f t="shared" si="1"/>
        <v>1092727</v>
      </c>
      <c r="H28" s="126">
        <f t="shared" si="1"/>
        <v>1125508.81</v>
      </c>
      <c r="I28" s="126">
        <f t="shared" si="1"/>
        <v>1159274.0743</v>
      </c>
      <c r="J28" s="126">
        <f t="shared" si="1"/>
        <v>1194052.2965289999</v>
      </c>
      <c r="K28" s="126">
        <f t="shared" si="1"/>
        <v>1229873.86542487</v>
      </c>
    </row>
    <row r="29" spans="2:11">
      <c r="B29" s="121" t="s">
        <v>156</v>
      </c>
      <c r="C29" s="121"/>
      <c r="D29" s="128">
        <f>-$F$15*D28</f>
        <v>-50000</v>
      </c>
      <c r="E29" s="128">
        <f t="shared" ref="E29:K29" si="2">-$F$15*E28</f>
        <v>-51500</v>
      </c>
      <c r="F29" s="128">
        <f t="shared" si="2"/>
        <v>-53045</v>
      </c>
      <c r="G29" s="128">
        <f t="shared" si="2"/>
        <v>-54636.350000000006</v>
      </c>
      <c r="H29" s="128">
        <f t="shared" si="2"/>
        <v>-56275.440500000004</v>
      </c>
      <c r="I29" s="128">
        <f t="shared" si="2"/>
        <v>-57963.703715000003</v>
      </c>
      <c r="J29" s="128">
        <f t="shared" si="2"/>
        <v>-59702.614826450001</v>
      </c>
      <c r="K29" s="128">
        <f t="shared" si="2"/>
        <v>-61493.693271243508</v>
      </c>
    </row>
    <row r="30" spans="2:11">
      <c r="B30" s="121" t="s">
        <v>30</v>
      </c>
      <c r="C30" s="121"/>
      <c r="D30" s="126">
        <f t="shared" ref="D30:K30" si="3">D28+D29</f>
        <v>950000</v>
      </c>
      <c r="E30" s="126">
        <f t="shared" si="3"/>
        <v>978500</v>
      </c>
      <c r="F30" s="126">
        <f t="shared" si="3"/>
        <v>1007855</v>
      </c>
      <c r="G30" s="126">
        <f t="shared" si="3"/>
        <v>1038090.65</v>
      </c>
      <c r="H30" s="126">
        <f t="shared" si="3"/>
        <v>1069233.3695</v>
      </c>
      <c r="I30" s="126">
        <f t="shared" si="3"/>
        <v>1101310.3705849999</v>
      </c>
      <c r="J30" s="126">
        <f t="shared" si="3"/>
        <v>1134349.68170255</v>
      </c>
      <c r="K30" s="126">
        <f t="shared" si="3"/>
        <v>1168380.1721536266</v>
      </c>
    </row>
    <row r="31" spans="2:11">
      <c r="B31" s="122"/>
      <c r="C31" s="122"/>
      <c r="D31" s="129"/>
      <c r="E31" s="129"/>
      <c r="F31" s="129"/>
      <c r="G31" s="129"/>
      <c r="H31" s="129"/>
      <c r="I31" s="129"/>
      <c r="J31" s="129"/>
      <c r="K31" s="129"/>
    </row>
    <row r="32" spans="2:11">
      <c r="B32" s="121" t="s">
        <v>31</v>
      </c>
      <c r="C32" s="121"/>
      <c r="D32" s="126">
        <v>-246574</v>
      </c>
      <c r="E32" s="126">
        <f>D32*(1+$F$16)</f>
        <v>-258902.7</v>
      </c>
      <c r="F32" s="126">
        <f t="shared" ref="F32:K32" si="4">E32*(1+$F$16)</f>
        <v>-271847.83500000002</v>
      </c>
      <c r="G32" s="126">
        <f t="shared" si="4"/>
        <v>-285440.22675000003</v>
      </c>
      <c r="H32" s="126">
        <f t="shared" si="4"/>
        <v>-299712.23808750004</v>
      </c>
      <c r="I32" s="126">
        <f t="shared" si="4"/>
        <v>-314697.84999187506</v>
      </c>
      <c r="J32" s="126">
        <f t="shared" si="4"/>
        <v>-330432.74249146885</v>
      </c>
      <c r="K32" s="126">
        <f t="shared" si="4"/>
        <v>-346954.37961604231</v>
      </c>
    </row>
    <row r="33" spans="2:11">
      <c r="B33" s="121" t="s">
        <v>32</v>
      </c>
      <c r="C33" s="121"/>
      <c r="D33" s="126">
        <f>-(D28*F17)</f>
        <v>-140000</v>
      </c>
      <c r="E33" s="126">
        <f>D33*(1+$F$18)</f>
        <v>-144200</v>
      </c>
      <c r="F33" s="126">
        <f t="shared" ref="F33:K33" si="5">E33*(1+$F$18)</f>
        <v>-148526</v>
      </c>
      <c r="G33" s="126">
        <f t="shared" si="5"/>
        <v>-152981.78</v>
      </c>
      <c r="H33" s="126">
        <f t="shared" si="5"/>
        <v>-157571.2334</v>
      </c>
      <c r="I33" s="126">
        <f t="shared" si="5"/>
        <v>-162298.370402</v>
      </c>
      <c r="J33" s="126">
        <f t="shared" si="5"/>
        <v>-167167.32151405999</v>
      </c>
      <c r="K33" s="126">
        <f t="shared" si="5"/>
        <v>-172182.34115948179</v>
      </c>
    </row>
    <row r="34" spans="2:11">
      <c r="B34" s="121" t="s">
        <v>33</v>
      </c>
      <c r="C34" s="121"/>
      <c r="D34" s="128">
        <f>-$F$19*D28</f>
        <v>-45000</v>
      </c>
      <c r="E34" s="128">
        <f t="shared" ref="E34:K34" si="6">-$F$19*E28</f>
        <v>-46350</v>
      </c>
      <c r="F34" s="128">
        <f t="shared" si="6"/>
        <v>-47740.5</v>
      </c>
      <c r="G34" s="128">
        <f t="shared" si="6"/>
        <v>-49172.714999999997</v>
      </c>
      <c r="H34" s="128">
        <f t="shared" si="6"/>
        <v>-50647.89645</v>
      </c>
      <c r="I34" s="128">
        <f t="shared" si="6"/>
        <v>-52167.333343499995</v>
      </c>
      <c r="J34" s="128">
        <f t="shared" si="6"/>
        <v>-53732.353343804993</v>
      </c>
      <c r="K34" s="128">
        <f t="shared" si="6"/>
        <v>-55344.323944119147</v>
      </c>
    </row>
    <row r="35" spans="2:11">
      <c r="B35" s="122"/>
      <c r="C35" s="122"/>
      <c r="D35" s="129"/>
      <c r="E35" s="129"/>
      <c r="F35" s="129"/>
      <c r="G35" s="129"/>
      <c r="H35" s="129"/>
      <c r="I35" s="129"/>
      <c r="J35" s="129"/>
      <c r="K35" s="129"/>
    </row>
    <row r="36" spans="2:11">
      <c r="B36" s="121" t="s">
        <v>34</v>
      </c>
      <c r="C36" s="121"/>
      <c r="D36" s="126">
        <f t="shared" ref="D36:K36" si="7">D30+SUM(D32:D34)</f>
        <v>518426</v>
      </c>
      <c r="E36" s="126">
        <f t="shared" si="7"/>
        <v>529047.30000000005</v>
      </c>
      <c r="F36" s="126">
        <f t="shared" si="7"/>
        <v>539740.66500000004</v>
      </c>
      <c r="G36" s="126">
        <f t="shared" si="7"/>
        <v>550495.92825</v>
      </c>
      <c r="H36" s="126">
        <f t="shared" si="7"/>
        <v>561302.00156250002</v>
      </c>
      <c r="I36" s="126">
        <f t="shared" si="7"/>
        <v>572146.81684762484</v>
      </c>
      <c r="J36" s="126">
        <f t="shared" si="7"/>
        <v>583017.26435321628</v>
      </c>
      <c r="K36" s="126">
        <f t="shared" si="7"/>
        <v>593899.12743398338</v>
      </c>
    </row>
    <row r="38" spans="2:11" ht="12.5" thickBot="1">
      <c r="B38" s="156" t="s">
        <v>146</v>
      </c>
      <c r="C38" s="156"/>
    </row>
    <row r="39" spans="2:11" ht="15" customHeight="1" thickTop="1" thickBot="1">
      <c r="B39" s="363" t="s">
        <v>126</v>
      </c>
      <c r="C39" s="364"/>
      <c r="D39" s="364"/>
      <c r="E39" s="364"/>
      <c r="F39" s="364"/>
      <c r="G39" s="364"/>
      <c r="H39" s="364"/>
      <c r="I39" s="364"/>
      <c r="J39" s="364"/>
      <c r="K39" s="365"/>
    </row>
    <row r="40" spans="2:11" ht="12.5" thickTop="1">
      <c r="B40" s="100"/>
      <c r="C40" s="75"/>
      <c r="D40" s="75"/>
      <c r="E40" s="75"/>
      <c r="F40" s="75"/>
      <c r="G40" s="75"/>
      <c r="H40" s="75"/>
      <c r="I40" s="75"/>
      <c r="J40" s="75"/>
      <c r="K40" s="101"/>
    </row>
    <row r="41" spans="2:11">
      <c r="B41" s="102"/>
      <c r="C41" s="96"/>
      <c r="D41" s="97">
        <v>1</v>
      </c>
      <c r="E41" s="97">
        <v>2</v>
      </c>
      <c r="F41" s="97">
        <v>3</v>
      </c>
      <c r="G41" s="97">
        <v>4</v>
      </c>
      <c r="H41" s="97">
        <v>5</v>
      </c>
      <c r="I41" s="97">
        <v>6</v>
      </c>
      <c r="J41" s="97">
        <v>7</v>
      </c>
      <c r="K41" s="112">
        <v>8</v>
      </c>
    </row>
    <row r="42" spans="2:11">
      <c r="B42" s="102"/>
      <c r="C42" s="96"/>
      <c r="D42" s="97"/>
      <c r="E42" s="97"/>
      <c r="F42" s="97"/>
      <c r="G42" s="97"/>
      <c r="H42" s="97"/>
      <c r="I42" s="97"/>
      <c r="J42" s="97"/>
      <c r="K42" s="113"/>
    </row>
    <row r="43" spans="2:11">
      <c r="B43" s="87" t="s">
        <v>34</v>
      </c>
      <c r="C43" s="109"/>
      <c r="D43" s="98">
        <f t="shared" ref="D43:K43" si="8">D36</f>
        <v>518426</v>
      </c>
      <c r="E43" s="98">
        <f t="shared" si="8"/>
        <v>529047.30000000005</v>
      </c>
      <c r="F43" s="98">
        <f t="shared" si="8"/>
        <v>539740.66500000004</v>
      </c>
      <c r="G43" s="98">
        <f t="shared" si="8"/>
        <v>550495.92825</v>
      </c>
      <c r="H43" s="98">
        <f t="shared" si="8"/>
        <v>561302.00156250002</v>
      </c>
      <c r="I43" s="98">
        <f t="shared" si="8"/>
        <v>572146.81684762484</v>
      </c>
      <c r="J43" s="98">
        <f t="shared" si="8"/>
        <v>583017.26435321628</v>
      </c>
      <c r="K43" s="114">
        <f t="shared" si="8"/>
        <v>593899.12743398338</v>
      </c>
    </row>
    <row r="44" spans="2:11">
      <c r="B44" s="116" t="s">
        <v>80</v>
      </c>
      <c r="C44" s="107"/>
      <c r="D44" s="117" t="s">
        <v>75</v>
      </c>
      <c r="E44" s="117" t="s">
        <v>75</v>
      </c>
      <c r="F44" s="117" t="s">
        <v>75</v>
      </c>
      <c r="G44" s="117" t="s">
        <v>75</v>
      </c>
      <c r="H44" s="117" t="s">
        <v>75</v>
      </c>
      <c r="I44" s="117" t="s">
        <v>75</v>
      </c>
      <c r="J44" s="117" t="s">
        <v>75</v>
      </c>
      <c r="K44" s="114"/>
    </row>
    <row r="45" spans="2:11">
      <c r="B45" s="116" t="s">
        <v>106</v>
      </c>
      <c r="C45" s="107"/>
      <c r="D45" s="99">
        <f>-$F$9</f>
        <v>-401212.93595345656</v>
      </c>
      <c r="E45" s="99">
        <f t="shared" ref="E45:J45" si="9">-$F$9</f>
        <v>-401212.93595345656</v>
      </c>
      <c r="F45" s="99">
        <f t="shared" si="9"/>
        <v>-401212.93595345656</v>
      </c>
      <c r="G45" s="99">
        <f t="shared" si="9"/>
        <v>-401212.93595345656</v>
      </c>
      <c r="H45" s="99">
        <f t="shared" si="9"/>
        <v>-401212.93595345656</v>
      </c>
      <c r="I45" s="99">
        <f t="shared" si="9"/>
        <v>-401212.93595345656</v>
      </c>
      <c r="J45" s="99">
        <f t="shared" si="9"/>
        <v>-401212.93595345656</v>
      </c>
      <c r="K45" s="103"/>
    </row>
    <row r="46" spans="2:11">
      <c r="B46" s="87" t="s">
        <v>141</v>
      </c>
      <c r="C46" s="109"/>
      <c r="D46" s="98">
        <f t="shared" ref="D46:J46" si="10">SUM(D43:D45)</f>
        <v>117213.06404654344</v>
      </c>
      <c r="E46" s="98">
        <f t="shared" si="10"/>
        <v>127834.36404654349</v>
      </c>
      <c r="F46" s="98">
        <f t="shared" si="10"/>
        <v>138527.72904654348</v>
      </c>
      <c r="G46" s="98">
        <f t="shared" si="10"/>
        <v>149282.99229654344</v>
      </c>
      <c r="H46" s="98">
        <f t="shared" si="10"/>
        <v>160089.06560904346</v>
      </c>
      <c r="I46" s="98">
        <f t="shared" si="10"/>
        <v>170933.88089416828</v>
      </c>
      <c r="J46" s="98">
        <f t="shared" si="10"/>
        <v>181804.32839975972</v>
      </c>
      <c r="K46" s="103"/>
    </row>
    <row r="47" spans="2:11">
      <c r="B47" s="106"/>
      <c r="C47" s="157"/>
      <c r="D47" s="98"/>
      <c r="E47" s="98"/>
      <c r="F47" s="98"/>
      <c r="G47" s="98"/>
      <c r="H47" s="98"/>
      <c r="I47" s="98"/>
      <c r="J47" s="98"/>
      <c r="K47" s="103"/>
    </row>
    <row r="48" spans="2:11">
      <c r="B48" s="87" t="s">
        <v>109</v>
      </c>
      <c r="C48" s="109"/>
      <c r="D48" s="98">
        <f>-$J$7/$J$8</f>
        <v>-201818.18181818182</v>
      </c>
      <c r="E48" s="98">
        <f t="shared" ref="E48:J48" si="11">-$J$7/$J$8</f>
        <v>-201818.18181818182</v>
      </c>
      <c r="F48" s="98">
        <f t="shared" si="11"/>
        <v>-201818.18181818182</v>
      </c>
      <c r="G48" s="98">
        <f t="shared" si="11"/>
        <v>-201818.18181818182</v>
      </c>
      <c r="H48" s="98">
        <f t="shared" si="11"/>
        <v>-201818.18181818182</v>
      </c>
      <c r="I48" s="98">
        <f t="shared" si="11"/>
        <v>-201818.18181818182</v>
      </c>
      <c r="J48" s="98">
        <f t="shared" si="11"/>
        <v>-201818.18181818182</v>
      </c>
      <c r="K48" s="103"/>
    </row>
    <row r="49" spans="2:11">
      <c r="B49" s="87" t="s">
        <v>110</v>
      </c>
      <c r="C49" s="109"/>
      <c r="D49" s="98">
        <f t="shared" ref="D49:J49" si="12">-D34</f>
        <v>45000</v>
      </c>
      <c r="E49" s="98">
        <f t="shared" si="12"/>
        <v>46350</v>
      </c>
      <c r="F49" s="98">
        <f t="shared" si="12"/>
        <v>47740.5</v>
      </c>
      <c r="G49" s="98">
        <f t="shared" si="12"/>
        <v>49172.714999999997</v>
      </c>
      <c r="H49" s="98">
        <f t="shared" si="12"/>
        <v>50647.89645</v>
      </c>
      <c r="I49" s="98">
        <f t="shared" si="12"/>
        <v>52167.333343499995</v>
      </c>
      <c r="J49" s="98">
        <f t="shared" si="12"/>
        <v>53732.353343804993</v>
      </c>
      <c r="K49" s="103"/>
    </row>
    <row r="50" spans="2:11">
      <c r="B50" s="87" t="s">
        <v>111</v>
      </c>
      <c r="C50" s="109"/>
      <c r="D50" s="117">
        <f>'Fig PIII.9'!H14</f>
        <v>0</v>
      </c>
      <c r="E50" s="117">
        <f>'Fig PIII.9'!H15</f>
        <v>0</v>
      </c>
      <c r="F50" s="117">
        <f>'Fig PIII.9'!H16</f>
        <v>0</v>
      </c>
      <c r="G50" s="117">
        <f>'Fig PIII.9'!H17</f>
        <v>0</v>
      </c>
      <c r="H50" s="117">
        <f>'Fig PIII.9'!H18</f>
        <v>0</v>
      </c>
      <c r="I50" s="117">
        <f>'Fig PIII.9'!H19</f>
        <v>0</v>
      </c>
      <c r="J50" s="117">
        <f>'Fig PIII.9'!H20</f>
        <v>0</v>
      </c>
      <c r="K50" s="103"/>
    </row>
    <row r="51" spans="2:11">
      <c r="B51" s="87" t="s">
        <v>112</v>
      </c>
      <c r="C51" s="109"/>
      <c r="D51" s="120" t="s">
        <v>75</v>
      </c>
      <c r="E51" s="120" t="s">
        <v>75</v>
      </c>
      <c r="F51" s="120" t="s">
        <v>75</v>
      </c>
      <c r="G51" s="120" t="s">
        <v>75</v>
      </c>
      <c r="H51" s="120" t="s">
        <v>75</v>
      </c>
      <c r="I51" s="120" t="s">
        <v>75</v>
      </c>
      <c r="J51" s="120" t="s">
        <v>75</v>
      </c>
      <c r="K51" s="103"/>
    </row>
    <row r="52" spans="2:11" hidden="1" outlineLevel="1">
      <c r="B52" s="87" t="s">
        <v>35</v>
      </c>
      <c r="C52" s="109"/>
      <c r="D52" s="98">
        <f t="shared" ref="D52:J52" si="13">SUM(D46:D51)</f>
        <v>-39605.117771638383</v>
      </c>
      <c r="E52" s="98">
        <f t="shared" si="13"/>
        <v>-27633.817771638336</v>
      </c>
      <c r="F52" s="98">
        <f t="shared" si="13"/>
        <v>-15549.952771638345</v>
      </c>
      <c r="G52" s="98">
        <f t="shared" si="13"/>
        <v>-3362.474521638389</v>
      </c>
      <c r="H52" s="98">
        <f t="shared" si="13"/>
        <v>8918.7802408616408</v>
      </c>
      <c r="I52" s="98">
        <f t="shared" si="13"/>
        <v>21283.032419486452</v>
      </c>
      <c r="J52" s="98">
        <f t="shared" si="13"/>
        <v>33718.499925382886</v>
      </c>
      <c r="K52" s="103"/>
    </row>
    <row r="53" spans="2:11" hidden="1" outlineLevel="1">
      <c r="B53" s="87" t="s">
        <v>36</v>
      </c>
      <c r="C53" s="109"/>
      <c r="D53" s="118">
        <f>IF(D52&lt;0,D52,0)</f>
        <v>-39605.117771638383</v>
      </c>
      <c r="E53" s="118">
        <f t="shared" ref="E53:J53" si="14">IF(E52&lt;0,E52+D53-D54,D53-D54)</f>
        <v>-67238.935543276719</v>
      </c>
      <c r="F53" s="118">
        <f t="shared" si="14"/>
        <v>-82788.888314915064</v>
      </c>
      <c r="G53" s="118">
        <f t="shared" si="14"/>
        <v>-86151.362836553453</v>
      </c>
      <c r="H53" s="118">
        <f t="shared" si="14"/>
        <v>-86151.362836553453</v>
      </c>
      <c r="I53" s="118">
        <f t="shared" si="14"/>
        <v>-77232.582595691812</v>
      </c>
      <c r="J53" s="118">
        <f t="shared" si="14"/>
        <v>-55949.550176205361</v>
      </c>
      <c r="K53" s="103"/>
    </row>
    <row r="54" spans="2:11" hidden="1" outlineLevel="1">
      <c r="B54" s="87" t="s">
        <v>104</v>
      </c>
      <c r="C54" s="109"/>
      <c r="D54" s="119">
        <v>0</v>
      </c>
      <c r="E54" s="119">
        <f t="shared" ref="E54:J54" si="15">IF(E52&lt;0,0,IF(-E53&lt;E52,E53,-E52))</f>
        <v>0</v>
      </c>
      <c r="F54" s="119">
        <f t="shared" si="15"/>
        <v>0</v>
      </c>
      <c r="G54" s="119">
        <f t="shared" si="15"/>
        <v>0</v>
      </c>
      <c r="H54" s="119">
        <f t="shared" si="15"/>
        <v>-8918.7802408616408</v>
      </c>
      <c r="I54" s="119">
        <f t="shared" si="15"/>
        <v>-21283.032419486452</v>
      </c>
      <c r="J54" s="119">
        <f t="shared" si="15"/>
        <v>-33718.499925382886</v>
      </c>
      <c r="K54" s="103"/>
    </row>
    <row r="55" spans="2:11" hidden="1" outlineLevel="1">
      <c r="B55" s="106"/>
      <c r="C55" s="157"/>
      <c r="D55" s="98"/>
      <c r="E55" s="98"/>
      <c r="F55" s="98"/>
      <c r="G55" s="98"/>
      <c r="H55" s="98"/>
      <c r="I55" s="98"/>
      <c r="J55" s="98"/>
      <c r="K55" s="103"/>
    </row>
    <row r="56" spans="2:11" collapsed="1">
      <c r="B56" s="87" t="s">
        <v>37</v>
      </c>
      <c r="C56" s="109"/>
      <c r="D56" s="98">
        <f t="shared" ref="D56:J56" si="16">D52+D54</f>
        <v>-39605.117771638383</v>
      </c>
      <c r="E56" s="98">
        <f t="shared" si="16"/>
        <v>-27633.817771638336</v>
      </c>
      <c r="F56" s="98">
        <f t="shared" si="16"/>
        <v>-15549.952771638345</v>
      </c>
      <c r="G56" s="98">
        <f t="shared" si="16"/>
        <v>-3362.474521638389</v>
      </c>
      <c r="H56" s="98">
        <f t="shared" si="16"/>
        <v>0</v>
      </c>
      <c r="I56" s="98">
        <f t="shared" si="16"/>
        <v>0</v>
      </c>
      <c r="J56" s="98">
        <f t="shared" si="16"/>
        <v>0</v>
      </c>
      <c r="K56" s="103"/>
    </row>
    <row r="57" spans="2:11">
      <c r="B57" s="108" t="s">
        <v>108</v>
      </c>
      <c r="C57" s="158"/>
      <c r="D57" s="120">
        <f t="shared" ref="D57:J57" si="17">IF(D56&lt;0,0,(-$J$4*D56))</f>
        <v>0</v>
      </c>
      <c r="E57" s="120">
        <f t="shared" si="17"/>
        <v>0</v>
      </c>
      <c r="F57" s="120">
        <f t="shared" si="17"/>
        <v>0</v>
      </c>
      <c r="G57" s="120">
        <f t="shared" si="17"/>
        <v>0</v>
      </c>
      <c r="H57" s="120">
        <f t="shared" si="17"/>
        <v>0</v>
      </c>
      <c r="I57" s="120">
        <f t="shared" si="17"/>
        <v>0</v>
      </c>
      <c r="J57" s="120">
        <f t="shared" si="17"/>
        <v>0</v>
      </c>
      <c r="K57" s="103"/>
    </row>
    <row r="58" spans="2:11" s="111" customFormat="1" ht="20.25" customHeight="1" thickBot="1">
      <c r="B58" s="88" t="s">
        <v>107</v>
      </c>
      <c r="C58" s="159"/>
      <c r="D58" s="115">
        <f t="shared" ref="D58:J58" si="18">D46+D57</f>
        <v>117213.06404654344</v>
      </c>
      <c r="E58" s="115">
        <f t="shared" si="18"/>
        <v>127834.36404654349</v>
      </c>
      <c r="F58" s="115">
        <f t="shared" si="18"/>
        <v>138527.72904654348</v>
      </c>
      <c r="G58" s="115">
        <f t="shared" si="18"/>
        <v>149282.99229654344</v>
      </c>
      <c r="H58" s="115">
        <f t="shared" si="18"/>
        <v>160089.06560904346</v>
      </c>
      <c r="I58" s="115">
        <f t="shared" si="18"/>
        <v>170933.88089416828</v>
      </c>
      <c r="J58" s="115">
        <f t="shared" si="18"/>
        <v>181804.32839975972</v>
      </c>
      <c r="K58" s="110"/>
    </row>
    <row r="59" spans="2:11" ht="12.5" thickTop="1"/>
    <row r="60" spans="2:11">
      <c r="C60" s="156"/>
    </row>
  </sheetData>
  <mergeCells count="2">
    <mergeCell ref="D23:K23"/>
    <mergeCell ref="B39:K3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Prereq III Figures</vt:lpstr>
      <vt:lpstr>Fig PIII.1</vt:lpstr>
      <vt:lpstr>Fig PIII.2, .4 &amp; .10 bottom</vt:lpstr>
      <vt:lpstr>Fig PIII.3 and PIII.11 left</vt:lpstr>
      <vt:lpstr>Fig PIII.5</vt:lpstr>
      <vt:lpstr>Fig PIII.6</vt:lpstr>
      <vt:lpstr>Fig PIII.7-8</vt:lpstr>
      <vt:lpstr>Fig PIII.9</vt:lpstr>
      <vt:lpstr>Fig PIII.10 top</vt:lpstr>
      <vt:lpstr>Fig PIII.11 right</vt:lpstr>
      <vt:lpstr>Fig PIII.12</vt:lpstr>
      <vt:lpstr>Fig PIII.13</vt:lpstr>
      <vt:lpstr>Fig PIII.14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Linneman and Kirsch</dc:creator>
  <cp:lastModifiedBy>Bruce Kirsch</cp:lastModifiedBy>
  <dcterms:created xsi:type="dcterms:W3CDTF">2010-07-13T19:58:15Z</dcterms:created>
  <dcterms:modified xsi:type="dcterms:W3CDTF">2022-06-17T20:41:13Z</dcterms:modified>
</cp:coreProperties>
</file>